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4s4cVPZWzkHY15JX+xdB3lq8jNqwtp02Nvi5BW3J+YYoOFct8jhzqjCN/sSlTGchr0Qvf8LNWVqRTmdn6vI5qQ==" workbookSaltValue="dNn7IplI3CNU9Flj+S56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18" i="7"/>
  <c r="AB13" i="21"/>
  <c r="BG10" i="8"/>
  <c r="B9" i="6"/>
  <c r="H10" i="2"/>
  <c r="M13" i="2"/>
  <c r="N13" i="2"/>
  <c r="C12" i="14"/>
  <c r="K12" i="14" s="1"/>
  <c r="L16" i="2"/>
  <c r="BH16" i="11"/>
  <c r="BH10" i="16"/>
  <c r="BH10" i="11"/>
  <c r="AZ12" i="11"/>
  <c r="BU16" i="17"/>
  <c r="BW11" i="20"/>
  <c r="BU10" i="17"/>
  <c r="AP17" i="20"/>
  <c r="BG15" i="11"/>
  <c r="BI15" i="11"/>
  <c r="V11" i="11"/>
  <c r="BL17" i="11"/>
  <c r="BH17" i="16"/>
  <c r="AZ18" i="13"/>
  <c r="BB18" i="13"/>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<sst xmlns="http://schemas.openxmlformats.org/spreadsheetml/2006/main" count="2102" uniqueCount="918">
  <si>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</si>
  <si>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</si>
  <si>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</si>
  <si>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</si>
  <si>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</si>
  <si>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</si>
  <si>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</si>
  <si>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</si>
  <si>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</si>
  <si>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</si>
  <si>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</si>
  <si>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</si>
  <si>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</si>
  <si>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</si>
  <si>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</si>
  <si>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</si>
  <si>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</si>
  <si>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</si>
  <si>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</si>
  <si>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</si>
  <si>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</si>
  <si>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</si>
  <si>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</si>
  <si>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</si>
  <si>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</si>
  <si>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</si>
  <si>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</si>
  <si>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</si>
  <si>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</si>
  <si>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</si>
  <si>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</si>
  <si>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</si>
  <si>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</si>
  <si>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</si>
  <si>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</si>
  <si>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</si>
  <si>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</si>
  <si>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</si>
  <si>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</si>
  <si>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</si>
  <si>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</si>
  <si>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</si>
  <si>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</si>
  <si>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</si>
  <si>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</si>
  <si>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</si>
  <si>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</si>
  <si>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</si>
  <si>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</si>
  <si>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</si>
  <si>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</si>
  <si>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</si>
  <si>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</si>
  <si>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</si>
  <si>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</si>
  <si>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</si>
  <si>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</si>
  <si>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</si>
  <si>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</si>
  <si>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</si>
  <si>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</si>
  <si>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</si>
  <si>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</si>
  <si>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</si>
  <si>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</si>
  <si>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</si>
  <si>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</si>
  <si>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</si>
  <si>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</si>
  <si>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</si>
  <si>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</si>
  <si>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</si>
  <si>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</si>
  <si>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</si>
  <si>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</si>
  <si>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</si>
  <si>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</si>
  <si>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</si>
  <si>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</si>
  <si>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</si>
  <si>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</si>
  <si>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</si>
  <si>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</si>
  <si>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</si>
  <si>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</si>
  <si>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</si>
  <si>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</si>
  <si>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</si>
  <si>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</si>
  <si>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</si>
  <si>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</si>
  <si>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</si>
  <si>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</si>
  <si>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</si>
  <si>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</si>
  <si>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</si>
  <si>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</si>
  <si>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</si>
  <si>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</si>
  <si>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</si>
  <si>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</si>
  <si>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</si>
  <si>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</si>
  <si>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</si>
  <si>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</si>
  <si>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</si>
  <si>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</si>
  <si>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</si>
  <si>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</si>
  <si>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</si>
  <si>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</si>
  <si>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</si>
  <si>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</si>
  <si>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</si>
  <si>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</si>
  <si>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</si>
  <si>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</si>
  <si>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</si>
  <si>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</si>
  <si>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</si>
  <si>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</si>
  <si>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</si>
  <si>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</si>
  <si>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</si>
  <si>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</si>
  <si>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</si>
  <si>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</si>
  <si>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</si>
  <si>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</si>
  <si>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</si>
  <si>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</si>
  <si>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</si>
  <si>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</si>
  <si>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</si>
  <si>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</si>
  <si>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</si>
  <si>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</si>
  <si>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</si>
  <si>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</si>
  <si>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</si>
  <si>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</si>
  <si>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</si>
  <si>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</si>
  <si>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</si>
  <si>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</si>
  <si>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</si>
  <si>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</si>
  <si>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</si>
  <si>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</si>
  <si>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</si>
  <si>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</si>
  <si>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</si>
  <si>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</si>
  <si>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</si>
  <si>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</si>
  <si>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</si>
  <si>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</si>
  <si>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</si>
  <si>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</si>
  <si>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</si>
  <si>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</si>
  <si>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</si>
  <si>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</si>
  <si>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</si>
  <si>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</si>
  <si>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</si>
  <si>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</si>
  <si>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</si>
  <si>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</si>
  <si>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</si>
  <si>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</si>
  <si>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</si>
  <si>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</si>
  <si>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</si>
  <si>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</si>
  <si>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</si>
  <si>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</si>
  <si>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</si>
  <si>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</si>
  <si>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</si>
  <si>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</si>
  <si>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</si>
  <si>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</si>
  <si>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</si>
  <si>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</si>
  <si>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</si>
  <si>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</si>
  <si>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</si>
  <si>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</si>
  <si>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</si>
  <si>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</si>
  <si>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</si>
  <si>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</si>
  <si>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</si>
  <si>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</si>
  <si>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</si>
  <si>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</si>
  <si>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</si>
  <si>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</si>
  <si>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</si>
  <si>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</si>
  <si>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</si>
  <si>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</si>
  <si>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</si>
  <si>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</si>
  <si>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</si>
  <si>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</si>
  <si>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</si>
  <si>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</si>
  <si>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</si>
  <si>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</si>
  <si>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</si>
  <si>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</si>
  <si>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</si>
  <si>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</si>
  <si>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</si>
  <si>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</si>
  <si>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</si>
  <si>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</si>
  <si>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</si>
  <si>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</si>
  <si>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</si>
  <si>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</si>
  <si>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</si>
  <si>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</si>
  <si>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</si>
  <si>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</si>
  <si>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</si>
  <si>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</si>
  <si>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</si>
  <si>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</si>
  <si>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</si>
  <si>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</si>
  <si>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</si>
  <si>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</si>
  <si>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</si>
  <si>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</si>
  <si>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</si>
  <si>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</si>
  <si>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</si>
  <si>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</si>
  <si>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</si>
  <si>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</si>
  <si>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</si>
  <si>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</si>
  <si>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</si>
  <si>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</si>
  <si>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</si>
  <si>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</si>
  <si>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</si>
  <si>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</si>
  <si>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</si>
  <si>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</si>
  <si>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</si>
  <si>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</si>
  <si>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</si>
  <si>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</si>
  <si>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</si>
  <si>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</si>
  <si>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</si>
  <si>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</si>
  <si>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</si>
  <si>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</si>
  <si>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</si>
  <si>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</si>
  <si>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</si>
  <si>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</si>
  <si>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</si>
  <si>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</si>
  <si>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</si>
  <si>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</si>
  <si>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</si>
  <si>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</si>
  <si>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</si>
  <si>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</si>
  <si>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</si>
  <si>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</si>
  <si>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</si>
  <si>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</si>
  <si>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</si>
  <si>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</si>
  <si>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</si>
  <si>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</si>
  <si>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</si>
  <si>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</si>
  <si>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</si>
  <si>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</si>
  <si>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</si>
  <si>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</si>
  <si>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</si>
  <si>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</si>
  <si>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</si>
  <si>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</si>
  <si>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</si>
  <si>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</si>
  <si>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</si>
  <si>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</si>
  <si>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</si>
  <si>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</si>
  <si>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</si>
  <si>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</si>
  <si>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</si>
  <si>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</si>
  <si>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</si>
  <si>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</si>
  <si>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</si>
  <si>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</si>
  <si>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</si>
  <si>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</si>
  <si>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</si>
  <si>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</si>
  <si>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</si>
  <si>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</si>
  <si>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</si>
  <si>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</si>
  <si>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</si>
  <si>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</si>
  <si>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</si>
  <si>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</si>
  <si>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</si>
  <si>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</si>
  <si>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</si>
  <si>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</si>
  <si>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</si>
  <si>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</si>
  <si>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</si>
  <si>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</si>
  <si>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</si>
  <si>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</si>
  <si>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</si>
  <si>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</si>
  <si>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</si>
  <si>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</si>
  <si>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</si>
  <si>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</si>
  <si>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</si>
  <si>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</si>
  <si>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</si>
  <si>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</si>
  <si>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</si>
  <si>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</si>
  <si>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</si>
  <si>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</si>
  <si>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</si>
  <si>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</si>
  <si>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</si>
  <si>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</si>
  <si>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</si>
  <si>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</si>
  <si>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</si>
  <si>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</si>
  <si>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</si>
  <si>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</si>
  <si>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</si>
  <si>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</si>
  <si>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</si>
  <si>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</si>
  <si>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</si>
  <si>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</si>
  <si>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</si>
  <si>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</si>
  <si>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</si>
  <si>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</si>
  <si>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</si>
  <si>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</si>
  <si>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</si>
  <si>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</si>
  <si>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</si>
  <si>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</si>
  <si>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</si>
  <si>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</si>
  <si>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</si>
  <si>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</si>
  <si>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</si>
  <si>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</si>
  <si>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</si>
  <si>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</si>
  <si>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</si>
  <si>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</si>
  <si>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</si>
  <si>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</si>
  <si>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</si>
  <si>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</si>
  <si>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</si>
  <si>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</si>
  <si>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</si>
  <si>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</si>
  <si>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</si>
  <si>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</si>
  <si>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</si>
  <si>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</si>
  <si>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</si>
  <si>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</si>
  <si>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</si>
  <si>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</si>
  <si>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</si>
  <si>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</si>
  <si>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</si>
  <si>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</si>
  <si>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</si>
  <si>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</si>
  <si>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</si>
  <si>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</si>
  <si>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</si>
  <si>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</si>
  <si>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</si>
  <si>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</si>
  <si>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</si>
  <si>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</si>
  <si>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</si>
  <si>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</si>
  <si>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</si>
  <si>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</si>
  <si>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</si>
  <si>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</si>
  <si>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</si>
  <si>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</si>
  <si>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</si>
  <si>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</si>
  <si>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</si>
  <si>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</si>
  <si>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</si>
  <si>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</si>
  <si>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</si>
  <si>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</si>
  <si>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</si>
  <si>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</si>
  <si>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</si>
  <si>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</si>
  <si>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</si>
  <si>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</si>
  <si>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</si>
  <si>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</si>
  <si>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</si>
  <si>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</si>
  <si>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</si>
  <si>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</si>
  <si>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</si>
  <si>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</si>
  <si>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</si>
  <si>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</si>
  <si>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</si>
  <si>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</si>
  <si>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</si>
  <si>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</si>
  <si>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</si>
  <si>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</si>
  <si>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</si>
  <si>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</si>
  <si>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</si>
  <si>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</si>
  <si>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</si>
  <si>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</si>
  <si>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</si>
  <si>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</si>
  <si>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</si>
  <si>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</si>
  <si>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</si>
  <si>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</si>
  <si>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</si>
  <si>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</si>
  <si>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</si>
  <si>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</si>
  <si>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</si>
  <si>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</si>
  <si>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</si>
  <si>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</si>
  <si>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</si>
  <si>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</si>
  <si>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</si>
  <si>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</si>
  <si>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</si>
  <si>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</si>
  <si>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</si>
  <si>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</si>
  <si>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</si>
  <si>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</si>
  <si>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</si>
  <si>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</si>
  <si>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</si>
  <si>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</si>
  <si>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</si>
  <si>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</si>
  <si>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</si>
  <si>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</si>
  <si>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</si>
  <si>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</si>
  <si>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</si>
  <si>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</si>
  <si>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</si>
  <si>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</si>
  <si>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</si>
  <si>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</si>
  <si>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</si>
  <si>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</si>
  <si>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</si>
  <si>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</si>
  <si>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</si>
  <si>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</si>
  <si>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</si>
  <si>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</si>
  <si>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</si>
  <si>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</si>
  <si>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</si>
  <si>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</si>
  <si>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</si>
  <si>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</si>
  <si>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</si>
  <si>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</si>
  <si>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</si>
  <si>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</si>
  <si>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</si>
  <si>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</si>
  <si>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</si>
  <si>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</si>
  <si>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</si>
  <si>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</si>
  <si>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</si>
  <si>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</si>
  <si>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</si>
  <si>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</si>
  <si>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</si>
  <si>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</si>
  <si>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</si>
  <si>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</si>
  <si>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</si>
  <si>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</si>
  <si>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</si>
  <si>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</si>
  <si>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</si>
  <si>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</si>
  <si>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</si>
  <si>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</si>
  <si>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</si>
  <si>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</si>
  <si>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</si>
  <si>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</si>
  <si>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</si>
  <si>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</si>
  <si>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</si>
  <si>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</si>
  <si>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</si>
  <si>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</si>
  <si>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</si>
  <si>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</si>
  <si>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</si>
  <si>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</si>
  <si>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</si>
  <si>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</si>
  <si>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</si>
  <si>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</si>
  <si>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</si>
  <si>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</si>
  <si>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</si>
  <si>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</si>
  <si>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</si>
  <si>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</si>
  <si>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</si>
  <si>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</si>
  <si>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</si>
  <si>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</si>
  <si>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</si>
  <si>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</si>
  <si>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</si>
  <si>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</si>
  <si>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</si>
  <si>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</si>
  <si>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</si>
  <si>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</si>
  <si>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</si>
  <si>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</si>
  <si>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</si>
  <si>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</si>
  <si>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</si>
  <si>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</si>
  <si>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</si>
  <si>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</si>
  <si>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</si>
  <si>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</si>
  <si>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</si>
  <si>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</si>
  <si>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</si>
  <si>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</si>
  <si>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</si>
  <si>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</si>
  <si>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</si>
  <si>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</si>
  <si>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</si>
  <si>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</si>
  <si>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</si>
  <si>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</si>
  <si>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</si>
  <si>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</si>
  <si>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</si>
  <si>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</si>
  <si>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</si>
  <si>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</si>
  <si>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</si>
  <si>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</si>
  <si>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</si>
  <si>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</si>
  <si>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</si>
  <si>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</si>
  <si>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</si>
  <si>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</si>
  <si>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</si>
  <si>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</si>
  <si>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</si>
  <si>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</si>
  <si>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</si>
  <si>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</si>
  <si>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</si>
  <si>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</si>
  <si>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</si>
  <si>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</si>
  <si>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</si>
  <si>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</si>
  <si>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</si>
  <si>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</si>
  <si>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</si>
  <si>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</si>
  <si>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</si>
  <si>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</si>
  <si>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</si>
  <si>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</si>
  <si>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</si>
  <si>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</si>
  <si>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</si>
  <si>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</si>
  <si>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</si>
  <si>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</si>
  <si>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</si>
  <si>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</si>
  <si>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</si>
  <si>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</si>
  <si>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</si>
  <si>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</si>
  <si>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</si>
  <si>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</si>
  <si>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</si>
  <si>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</si>
  <si>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</si>
  <si>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</si>
  <si>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</si>
  <si>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</si>
  <si>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</si>
  <si>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</si>
  <si>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</si>
  <si>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</si>
  <si>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</si>
  <si>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</si>
  <si>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</si>
  <si>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</si>
  <si>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</si>
  <si>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</si>
  <si>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</si>
  <si>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</si>
  <si>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</si>
  <si>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</si>
  <si>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</si>
  <si>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</si>
  <si>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</si>
  <si>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</si>
  <si>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</si>
  <si>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</si>
  <si>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</si>
  <si>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</si>
  <si>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</si>
  <si>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</si>
  <si>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</si>
  <si>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</si>
  <si>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</si>
  <si>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</si>
  <si>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</si>
  <si>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</si>
  <si>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</si>
  <si>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</si>
  <si>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</si>
  <si>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</si>
  <si>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</si>
  <si>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</si>
  <si>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</si>
  <si>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</si>
  <si>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</si>
  <si>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</si>
  <si>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</si>
  <si>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</si>
  <si>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</si>
  <si>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</si>
  <si>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</si>
  <si>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</si>
  <si>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</si>
  <si>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</si>
  <si>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</si>
  <si>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</si>
  <si>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</si>
  <si>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</si>
  <si>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</si>
  <si>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</si>
  <si>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</si>
  <si>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</si>
  <si>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</si>
  <si>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</si>
  <si>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</si>
  <si>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</si>
  <si>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</si>
  <si>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</si>
  <si>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</si>
  <si>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</si>
  <si>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</si>
  <si>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</si>
  <si>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</si>
  <si>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</si>
  <si>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</si>
  <si>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</si>
  <si>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</si>
  <si>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</si>
  <si>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</si>
  <si>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</si>
  <si>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</si>
  <si>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</si>
  <si>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</si>
  <si>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</si>
  <si>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</si>
  <si>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</si>
  <si>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</si>
  <si>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</si>
  <si>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</si>
  <si>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</si>
  <si>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</si>
  <si>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</si>
  <si>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</si>
  <si>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</si>
  <si>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</si>
  <si>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</si>
  <si>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</si>
  <si>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</si>
  <si>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</si>
  <si>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</si>
  <si>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</si>
  <si>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</si>
  <si>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</si>
  <si>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</si>
  <si>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</si>
  <si>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</si>
  <si>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</si>
  <si>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</si>
  <si>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</si>
  <si>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</si>
  <si>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</si>
  <si>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</si>
  <si>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</si>
  <si>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</si>
  <si>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</si>
  <si>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</si>
  <si>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</si>
  <si>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</si>
  <si>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</si>
  <si>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</si>
  <si>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</si>
  <si>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</si>
  <si>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</si>
  <si>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</si>
  <si>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</si>
  <si>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</si>
  <si>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</si>
  <si>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</si>
  <si>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</si>
  <si>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</si>
  <si>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</si>
  <si>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</si>
  <si>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</si>
  <si>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</si>
  <si>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</si>
  <si>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</si>
  <si>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</si>
  <si>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</si>
  <si>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</si>
  <si>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</si>
  <si>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</si>
  <si>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</si>
  <si>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</si>
  <si>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</si>
  <si>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</si>
  <si>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</si>
  <si>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</si>
  <si>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</si>
  <si>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</si>
  <si>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</si>
  <si>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</si>
  <si>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</si>
  <si>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</si>
  <si>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</si>
  <si>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</si>
  <si>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</si>
  <si>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</si>
  <si>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</si>
  <si>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</si>
  <si>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</si>
  <si>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</si>
  <si>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</si>
  <si>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</si>
  <si>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</si>
  <si>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</si>
  <si>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</si>
  <si>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</si>
  <si>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</si>
  <si>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</si>
  <si>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</si>
  <si>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</si>
  <si>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</si>
  <si>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</si>
  <si>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</si>
  <si>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</si>
  <si>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</si>
  <si>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</si>
  <si>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</si>
  <si>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</si>
  <si>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</si>
  <si>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</si>
  <si>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</si>
  <si>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</si>
  <si>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</si>
  <si>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</si>
  <si>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</si>
  <si>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</si>
  <si>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</si>
  <si>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</si>
  <si>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</si>
  <si>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</si>
  <si>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</si>
  <si>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</si>
  <si>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</si>
  <si>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</si>
  <si>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</si>
  <si>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</si>
  <si>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</si>
  <si>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</si>
  <si>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</si>
  <si>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</si>
  <si>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</si>
  <si>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</si>
  <si>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</si>
  <si>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</si>
  <si>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</si>
  <si>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</si>
  <si>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</si>
  <si>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</si>
  <si>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</si>
  <si>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</si>
  <si>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</si>
  <si>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</si>
  <si>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</si>
  <si>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</si>
  <si>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</si>
  <si>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</si>
  <si>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</si>
  <si>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</si>
  <si>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</si>
  <si>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</si>
  <si>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</si>
  <si>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</si>
  <si>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</si>
  <si>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</si>
  <si>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</si>
  <si>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</si>
  <si>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</si>
  <si>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</si>
  <si>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</si>
  <si>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</si>
  <si>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</si>
  <si>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</si>
  <si>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</si>
  <si>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</si>
  <si>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</si>
  <si>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</si>
  <si>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</si>
  <si>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</si>
  <si>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</si>
  <si>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</si>
  <si>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</si>
  <si>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</si>
  <si>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</si>
  <si>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</si>
  <si>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</si>
  <si>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</si>
  <si>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</si>
  <si>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</si>
  <si>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</si>
  <si>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</si>
  <si>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</si>
  <si>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</si>
  <si>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</si>
  <si>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</si>
  <si>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</si>
  <si>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</si>
  <si>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</si>
  <si>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</si>
  <si>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</si>
  <si>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</si>
  <si>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</si>
  <si>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</si>
  <si>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</si>
  <si>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</si>
  <si>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</si>
  <si>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</si>
  <si>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</si>
  <si>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</si>
  <si>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</si>
  <si>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</si>
  <si>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</si>
  <si>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</si>
  <si>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</si>
  <si>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</si>
  <si>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</si>
  <si>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</si>
  <si>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</si>
  <si>
    <t>LA BISBAL D'EMPORDA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</si>
</sst>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9Df93VLM12DYEZgQBzIxdhDJQ8WYz2QND+cQmuGFiC3Kdjd/IheMRex6JMvBbpPNo/gJTADtgRT7kl+7nWUvQ==" saltValue="XqMLmCss9KpWblesYk+C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LA BISBAL D'EMPORDA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5</v>
      </c>
      <c r="F10" s="404">
        <f>IF(ISNUMBER(E10/B10),E10/B10," - ")</f>
        <v>5</v>
      </c>
      <c r="G10" s="403">
        <f>IF(ISNUMBER(Datos!K10),Datos!K10," - ")</f>
        <v>5</v>
      </c>
      <c r="H10" s="404">
        <f>IF(ISNUMBER(G10/B10),G10/B10," - ")</f>
        <v>5</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3208</v>
      </c>
      <c r="D12" s="404">
        <f>IF(ISNUMBER(C12/Datos!BH12),C12/Datos!BH12," - ")</f>
        <v>802</v>
      </c>
      <c r="E12" s="403">
        <f>IF(ISNUMBER(IF(J_V="SI",Datos!J12,Datos!J12+Datos!Z12)),IF(J_V="SI",Datos!J12,Datos!J12+Datos!Z12)," - ")</f>
        <v>997</v>
      </c>
      <c r="F12" s="404">
        <f>IF(ISNUMBER(E12/B12),E12/B12," - ")</f>
        <v>249.25</v>
      </c>
      <c r="G12" s="403">
        <f>IF(ISNUMBER(IF(J_V="SI",Datos!K12,Datos!K12+Datos!AA12)),IF(J_V="SI",Datos!K12,Datos!K12+Datos!AA12)," - ")</f>
        <v>1114</v>
      </c>
      <c r="H12" s="404">
        <f>IF(ISNUMBER(G12/B12),G12/B12," - ")</f>
        <v>278.5</v>
      </c>
      <c r="I12" s="403">
        <f>IF(ISNUMBER(IF(J_V="SI",Datos!L12,Datos!L12+Datos!AB12)),IF(J_V="SI",Datos!L12,Datos!L12+Datos!AB12)," - ")</f>
        <v>3091</v>
      </c>
      <c r="J12" s="404">
        <f>IF(ISNUMBER(I12/B12),I12/B12," - ")</f>
        <v>772.75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3225</v>
      </c>
      <c r="D13" s="850" t="str">
        <f>IF(ISNUMBER(C13/Datos!BI13),C13/Datos!BI13," - ")</f>
        <v xml:space="preserve"> - </v>
      </c>
      <c r="E13" s="849">
        <f>SUBTOTAL(9,E8:E12)</f>
        <v>1002</v>
      </c>
      <c r="F13" s="850">
        <f>IF(ISNUMBER(E13/B13),E13/B13," - ")</f>
        <v>250.5</v>
      </c>
      <c r="G13" s="849">
        <f>SUBTOTAL(9,G8:G12)</f>
        <v>1119</v>
      </c>
      <c r="H13" s="850">
        <f>IF(ISNUMBER(G13/B13),G13/B13," - ")</f>
        <v>279.75</v>
      </c>
      <c r="I13" s="849">
        <f>SUBTOTAL(9,I8:I12)</f>
        <v>3108</v>
      </c>
      <c r="J13" s="850">
        <f>IF(ISNUMBER(I13/B13),I13/B13," - ")</f>
        <v>777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1764</v>
      </c>
      <c r="D16" s="404">
        <f>IF(ISNUMBER(C16/Datos!BH16),C16/Datos!BH16," - ")</f>
        <v>441</v>
      </c>
      <c r="E16" s="403">
        <f>IF(ISNUMBER(IF(D_I="SI",Datos!J16,Datos!J16+Datos!AD16)),IF(D_I="SI",Datos!J16,Datos!J16+Datos!AD16)," - ")</f>
        <v>1082</v>
      </c>
      <c r="F16" s="404">
        <f>IF(ISNUMBER(E16/B16),E16/B16," - ")</f>
        <v>270.5</v>
      </c>
      <c r="G16" s="403">
        <f>IF(ISNUMBER(IF(D_I="SI",Datos!K16,Datos!K16+Datos!AE16)),IF(D_I="SI",Datos!K16,Datos!K16+Datos!AE16)," - ")</f>
        <v>1236</v>
      </c>
      <c r="H16" s="404">
        <f>IF(ISNUMBER(G16/B16),G16/B16," - ")</f>
        <v>309</v>
      </c>
      <c r="I16" s="403">
        <f>IF(ISNUMBER(IF(D_I="SI",Datos!L16,Datos!L16+Datos!AF16)),IF(D_I="SI",Datos!L16,Datos!L16+Datos!AF16)," - ")</f>
        <v>1612</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80</v>
      </c>
      <c r="F17" s="404">
        <f>IF(ISNUMBER(E17/B17),E17/B17," - ")</f>
        <v>80</v>
      </c>
      <c r="G17" s="403">
        <f>IF(ISNUMBER(IF(D_I="SI",Datos!K17,Datos!K17+Datos!AE17)),IF(D_I="SI",Datos!K17,Datos!K17+Datos!AE17)," - ")</f>
        <v>82</v>
      </c>
      <c r="H17" s="404">
        <f>IF(ISNUMBER(G17/B17),G17/B17," - ")</f>
        <v>82</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1824</v>
      </c>
      <c r="D18" s="850" t="str">
        <f>IF(ISNUMBER(C18/Datos!BI18),C18/Datos!BI18," - ")</f>
        <v xml:space="preserve"> - </v>
      </c>
      <c r="E18" s="849">
        <f>SUBTOTAL(9,E14:E17)</f>
        <v>1162</v>
      </c>
      <c r="F18" s="850">
        <f>IF(ISNUMBER(E18/B18),E18/B18," - ")</f>
        <v>290.5</v>
      </c>
      <c r="G18" s="849">
        <f>SUBTOTAL(9,G14:G17)</f>
        <v>1318</v>
      </c>
      <c r="H18" s="850">
        <f>IF(ISNUMBER(G18/B18),G18/B18," - ")</f>
        <v>329.5</v>
      </c>
      <c r="I18" s="849">
        <f>SUBTOTAL(9,I14:I17)</f>
        <v>1670</v>
      </c>
      <c r="J18" s="850">
        <f>IF(ISNUMBER(I18/B18),I18/B18," - ")</f>
        <v>417.5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5049</v>
      </c>
      <c r="D19" s="795" t="str">
        <f>IF(ISNUMBER(C19/Datos!BI19),C19/Datos!BI19," - ")</f>
        <v xml:space="preserve"> - </v>
      </c>
      <c r="E19" s="794">
        <f>SUBTOTAL(9,E9:E18)</f>
        <v>2164</v>
      </c>
      <c r="F19" s="795">
        <f>IF(ISNUMBER(E19/B19),E19/B19," - ")</f>
        <v>541</v>
      </c>
      <c r="G19" s="794">
        <f>SUBTOTAL(9,G9:G18)</f>
        <v>2437</v>
      </c>
      <c r="H19" s="795">
        <f>IF(ISNUMBER(G19/B19),G19/B19," - ")</f>
        <v>609.25</v>
      </c>
      <c r="I19" s="794">
        <f>SUBTOTAL(9,I9:I18)</f>
        <v>4778</v>
      </c>
      <c r="J19" s="795">
        <f>IF(ISNUMBER(I19/B19),I19/B19," - ")</f>
        <v>1194.5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WSIA47QD2YLFIqxmPmP4fvEex0gsNTPTG4/ZRFojY9scsyLVDDE1Z1J9R5Oawz8nMaSjx1obF0BV2ia9VapWQ==" saltValue="uLWSRHVflzxchHIQI41T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LA BISBAL D'EMPORDA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9h93CzTvIE4hN7XTYcJ8DgMekfW87Mm/SSWX0uw/FaRpxKBCQMJV+VngRIV5MCJ/3GVOBBKycU1AuNMQfPIZow==" saltValue="VJc2F31kDQB5DE6+9ouf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LA BISBAL D'EMPORDA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367</v>
      </c>
      <c r="E12" s="404">
        <f t="shared" si="0"/>
        <v>91.75</v>
      </c>
      <c r="F12" s="403">
        <f>IF(ISNUMBER(Datos!N12),Datos!N12," - ")</f>
        <v>346</v>
      </c>
      <c r="G12" s="404">
        <f t="shared" si="1"/>
        <v>86.5</v>
      </c>
      <c r="H12" s="403">
        <f>IF(ISNUMBER(Datos!O12),Datos!O12," - ")</f>
        <v>488</v>
      </c>
      <c r="I12" s="404">
        <f t="shared" si="2"/>
        <v>122</v>
      </c>
      <c r="BZ12" s="1186">
        <f>Datos!EZ12</f>
        <v>0</v>
      </c>
    </row>
    <row r="13" spans="1:78" ht="14.25" thickTop="1" thickBot="1">
      <c r="A13" s="848" t="str">
        <f>Datos!A13</f>
        <v>TOTAL</v>
      </c>
      <c r="B13" s="849">
        <f>Datos!AP13</f>
        <v>4</v>
      </c>
      <c r="C13" s="851">
        <f>Datos!AR13</f>
        <v>4</v>
      </c>
      <c r="D13" s="849">
        <f>SUBTOTAL(9,D9:D12)</f>
        <v>370</v>
      </c>
      <c r="E13" s="850">
        <f t="shared" si="0"/>
        <v>92.5</v>
      </c>
      <c r="F13" s="849">
        <f>SUBTOTAL(9,F9:F12)</f>
        <v>346</v>
      </c>
      <c r="G13" s="850">
        <f t="shared" si="1"/>
        <v>86.5</v>
      </c>
      <c r="H13" s="849">
        <f>SUBTOTAL(9,H9:H12)</f>
        <v>488</v>
      </c>
      <c r="I13" s="850">
        <f>IF(ISNUMBER(H13/B13),H13/B13," - ")</f>
        <v>122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151</v>
      </c>
      <c r="E16" s="404">
        <f t="shared" si="3"/>
        <v>37.75</v>
      </c>
      <c r="F16" s="403">
        <f>IF(ISNUMBER(Datos!N16),Datos!N16," - ")</f>
        <v>722</v>
      </c>
      <c r="G16" s="404">
        <f t="shared" si="4"/>
        <v>180.5</v>
      </c>
      <c r="H16" s="403">
        <f>IF(ISNUMBER(Datos!O16),Datos!O16," - ")</f>
        <v>10</v>
      </c>
      <c r="I16" s="404">
        <f t="shared" si="5"/>
        <v>2.5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77</v>
      </c>
      <c r="G17" s="404">
        <f>IF(ISNUMBER(F17/B17),F17/B17," - ")</f>
        <v>77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154</v>
      </c>
      <c r="E18" s="850">
        <f t="shared" si="3"/>
        <v>38.5</v>
      </c>
      <c r="F18" s="849">
        <f>SUBTOTAL(9,F15:F17)</f>
        <v>799</v>
      </c>
      <c r="G18" s="850">
        <f t="shared" si="4"/>
        <v>199.75</v>
      </c>
      <c r="H18" s="849">
        <f>SUBTOTAL(9,H15:H17)</f>
        <v>10</v>
      </c>
      <c r="I18" s="850">
        <f>IF(ISNUMBER(H18/B18),H18/B18," - ")</f>
        <v>2.5</v>
      </c>
      <c r="BZ18" s="1186"/>
    </row>
    <row r="19" spans="1:78" ht="14.25" thickTop="1" thickBot="1">
      <c r="A19" s="793" t="str">
        <f>Datos!A19</f>
        <v>TOTAL JURISDICCIONES</v>
      </c>
      <c r="B19" s="794">
        <f>Datos!AP19</f>
        <v>4</v>
      </c>
      <c r="C19" s="794">
        <f>Datos!AR19</f>
        <v>4</v>
      </c>
      <c r="D19" s="794">
        <f>SUBTOTAL(9,D8:D18)</f>
        <v>524</v>
      </c>
      <c r="E19" s="795">
        <f>IF(ISNUMBER(D19/B19),D19/B19," - ")</f>
        <v>131</v>
      </c>
      <c r="F19" s="794">
        <f>SUBTOTAL(9,F8:F18)</f>
        <v>1145</v>
      </c>
      <c r="G19" s="795">
        <f>IF(ISNUMBER(F19/B19),F19/B19," - ")</f>
        <v>286.25</v>
      </c>
      <c r="H19" s="794">
        <f>SUBTOTAL(9,H8:H18)</f>
        <v>498</v>
      </c>
      <c r="I19" s="795">
        <f>IF(ISNUMBER(H19/B19),H19/B19," - ")</f>
        <v>124.5</v>
      </c>
    </row>
    <row r="22" spans="1:78">
      <c r="A22" s="391" t="str">
        <f>Criterios!A4</f>
        <v>Fecha Informe: 24 sep. 2024</v>
      </c>
    </row>
    <row r="27" spans="1:78">
      <c r="A27" s="414"/>
    </row>
  </sheetData>
  <sheetProtection algorithmName="SHA-512" hashValue="C9rA5o0C+rfCYzfUIvVBqiKTmdd+bMR8deyF6YyIltPNq1pgffVjyZVwcUIbF4wa1Stfb1YjC4godWf8Upf7rw==" saltValue="1ezwDbBwHeLXj+PDepTz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LA BISBAL D'EMPORDA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219</v>
      </c>
      <c r="C12" s="434">
        <f>IF(ISNUMBER(Datos!Q12),Datos!Q12," - ")</f>
        <v>174</v>
      </c>
      <c r="D12" s="408">
        <f>IF(ISNUMBER(Datos!R12),Datos!R12," - ")</f>
        <v>5088</v>
      </c>
    </row>
    <row r="13" spans="1:4" ht="14.25" thickTop="1" thickBot="1">
      <c r="A13" s="848" t="str">
        <f>Datos!A13</f>
        <v>TOTAL</v>
      </c>
      <c r="B13" s="849">
        <f>SUBTOTAL(9,B9:B12)</f>
        <v>220</v>
      </c>
      <c r="C13" s="853">
        <f>SUBTOTAL(9,C9:C12)</f>
        <v>176</v>
      </c>
      <c r="D13" s="851">
        <f>SUBTOTAL(9,D9:D12)</f>
        <v>5108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v>
      </c>
      <c r="C16" s="434">
        <f>IF(ISNUMBER(Datos!Q16),Datos!Q16," - ")</f>
        <v>36</v>
      </c>
      <c r="D16" s="408">
        <f>IF(ISNUMBER(Datos!R16),Datos!R16," - ")</f>
        <v>111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38</v>
      </c>
      <c r="C18" s="853">
        <f>SUBTOTAL(9,C15:C17)</f>
        <v>36</v>
      </c>
      <c r="D18" s="851">
        <f>SUBTOTAL(9,D15:D17)</f>
        <v>111</v>
      </c>
    </row>
    <row r="19" spans="1:4" ht="16.5" customHeight="1" thickTop="1" thickBot="1">
      <c r="A19" s="793" t="str">
        <f>Datos!A19</f>
        <v>TOTAL JURISDICCIONES</v>
      </c>
      <c r="B19" s="798">
        <f>SUBTOTAL(9,B8:B18)</f>
        <v>258</v>
      </c>
      <c r="C19" s="799">
        <f>SUBTOTAL(9,C8:C18)</f>
        <v>212</v>
      </c>
      <c r="D19" s="800">
        <f>SUBTOTAL(9,D8:D18)</f>
        <v>5219</v>
      </c>
    </row>
    <row r="20" spans="1:4" ht="7.5" customHeight="1"/>
    <row r="21" spans="1:4" ht="6" customHeight="1"/>
    <row r="22" spans="1:4">
      <c r="A22" s="391" t="str">
        <f>Criterios!A4</f>
        <v>Fecha Informe: 24 sep. 2024</v>
      </c>
    </row>
    <row r="27" spans="1:4">
      <c r="A27" s="414"/>
    </row>
  </sheetData>
  <sheetProtection algorithmName="SHA-512" hashValue="JKVBluYmDEXb/kd2biGUKY1Y9rJ+Hn+YPiX4A9fRTvKF0a/tuJf+w+bEiPialFg9fngvMDj5ljiZGaq8QwWLbQ==" saltValue="p+rU1kX33d2Tc1R5aN6X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LA BISBAL D'EMPORDA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0.88888888888888884</v>
      </c>
      <c r="C10" s="456">
        <f>IF(ISNUMBER((Datos!J10-Datos!T10)/Datos!T10),(Datos!J10-Datos!T10)/Datos!T10," - ")</f>
        <v>4</v>
      </c>
      <c r="D10" s="456" t="str">
        <f>IF(ISNUMBER((Datos!K10-Datos!U10)/Datos!U10),(Datos!K10-Datos!U10)/Datos!U10," - ")</f>
        <v xml:space="preserve"> - </v>
      </c>
      <c r="E10" s="456">
        <f>IF(ISNUMBER((Datos!L10-Datos!V10)/Datos!V10),(Datos!L10-Datos!V10)/Datos!V10," - ")</f>
        <v>0.7</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0.1244304241149667</v>
      </c>
      <c r="C12" s="456">
        <f>IF(ISNUMBER(
   IF(J_V="SI",(Datos!J12-Datos!T12)/Datos!T12,(Datos!J12+Datos!Z12-(Datos!T12+Datos!AH12))/(Datos!T12+Datos!AH12))
     ),IF(J_V="SI",(Datos!J12-Datos!T12)/Datos!T12,(Datos!J12+Datos!Z12-(Datos!T12+Datos!AH12))/(Datos!T12+Datos!AH12))," - ")</f>
        <v>-0.36415816326530615</v>
      </c>
      <c r="D12" s="456">
        <f>IF(ISNUMBER(
   IF(J_V="SI",(Datos!K12-Datos!U12)/Datos!U12,(Datos!K12+Datos!AA12-(Datos!U12+Datos!AI12))/(Datos!U12+Datos!AI12))
     ),IF(J_V="SI",(Datos!K12-Datos!U12)/Datos!U12,(Datos!K12+Datos!AA12-(Datos!U12+Datos!AI12))/(Datos!U12+Datos!AI12))," - ")</f>
        <v>-0.25634178905206945</v>
      </c>
      <c r="E12" s="456">
        <f>IF(ISNUMBER(
   IF(J_V="SI",(Datos!L12-Datos!V12)/Datos!V12,(Datos!L12+Datos!AB12-(Datos!V12+Datos!AJ12))/(Datos!V12+Datos!AJ12))
     ),IF(J_V="SI",(Datos!L12-Datos!V12)/Datos!V12,(Datos!L12+Datos!AB12-(Datos!V12+Datos!AJ12))/(Datos!V12+Datos!AJ12))," - ")</f>
        <v>4.2144302090357383E-2</v>
      </c>
      <c r="F12" s="456">
        <f>IF(ISNUMBER((Datos!M12-Datos!W12)/Datos!W12),(Datos!M12-Datos!W12)/Datos!W12," - ")</f>
        <v>0.32014388489208634</v>
      </c>
      <c r="G12" s="457">
        <f>IF(ISNUMBER((Datos!N12-Datos!X12)/Datos!X12),(Datos!N12-Datos!X12)/Datos!X12," - ")</f>
        <v>-0.16222760290556901</v>
      </c>
      <c r="H12" s="455">
        <f>IF(ISNUMBER(((NºAsuntos!G12/NºAsuntos!E12)-Datos!BD12)/Datos!BD12),((NºAsuntos!G12/NºAsuntos!E12)-Datos!BD12)/Datos!BD12," - ")</f>
        <v>0.16956476907357582</v>
      </c>
      <c r="I12" s="456">
        <f>IF(ISNUMBER(((NºAsuntos!I12/NºAsuntos!G12)-Datos!BE12)/Datos!BE12),((NºAsuntos!I12/NºAsuntos!G12)-Datos!BE12)/Datos!BE12," - ")</f>
        <v>0.40137537211073199</v>
      </c>
      <c r="J12" s="461">
        <f>IF(ISNUMBER((('Resol  Asuntos'!D12/NºAsuntos!G12)-Datos!BF12)/Datos!BF12),(('Resol  Asuntos'!D12/NºAsuntos!G12)-Datos!BF12)/Datos!BF12," - ")</f>
        <v>0.19493046891641058</v>
      </c>
      <c r="K12" s="462">
        <f>IF(ISNUMBER((((NºAsuntos!C12+NºAsuntos!E12)/NºAsuntos!G12)-Datos!BG12)/Datos!BG12),(((NºAsuntos!C12+NºAsuntos!E12)/NºAsuntos!G12)-Datos!BG12)/Datos!BG12," - ")</f>
        <v>0.27900460386347675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0.12683438155136267</v>
      </c>
      <c r="C13" s="855">
        <f>IF(ISNUMBER(
   IF(J_V="SI",(Datos!J13-Datos!T13)/Datos!T13,(Datos!J13+Datos!Z13-(Datos!T13+Datos!AH13))/(Datos!T13+Datos!AH13))
     ),IF(J_V="SI",(Datos!J13-Datos!T13)/Datos!T13,(Datos!J13+Datos!Z13-(Datos!T13+Datos!AH13))/(Datos!T13+Datos!AH13))," - ")</f>
        <v>-0.36137667304015297</v>
      </c>
      <c r="D13" s="855">
        <f>IF(ISNUMBER(
   IF(J_V="SI",(Datos!K13-Datos!U13)/Datos!U13,(Datos!K13+Datos!AA13-(Datos!U13+Datos!AI13))/(Datos!U13+Datos!AI13))
     ),IF(J_V="SI",(Datos!K13-Datos!U13)/Datos!U13,(Datos!K13+Datos!AA13-(Datos!U13+Datos!AI13))/(Datos!U13+Datos!AI13))," - ")</f>
        <v>-0.25300400534045392</v>
      </c>
      <c r="E13" s="855">
        <f>IF(ISNUMBER(
   IF(J_V="SI",(Datos!L13-Datos!V13)/Datos!V13,(Datos!L13+Datos!AB13-(Datos!V13+Datos!AJ13))/(Datos!V13+Datos!AJ13))
     ),IF(J_V="SI",(Datos!L13-Datos!V13)/Datos!V13,(Datos!L13+Datos!AB13-(Datos!V13+Datos!AJ13))/(Datos!V13+Datos!AJ13))," - ")</f>
        <v>4.4354838709677422E-2</v>
      </c>
      <c r="F13" s="856">
        <f>IF(ISNUMBER((Datos!M13-Datos!W13)/Datos!W13),(Datos!M13-Datos!W13)/Datos!W13," - ")</f>
        <v>0.33093525179856115</v>
      </c>
      <c r="G13" s="857">
        <f>IF(ISNUMBER((Datos!N13-Datos!X13)/Datos!X13),(Datos!N13-Datos!X13)/Datos!X13," - ")</f>
        <v>-0.16222760290556901</v>
      </c>
      <c r="H13" s="857">
        <f>IF(ISNUMBER(((NºAsuntos!G13/NºAsuntos!E13)-Datos!BD13)/Datos!BD13),((NºAsuntos!G13/NºAsuntos!E13)-Datos!BD13)/Datos!BD13," - ")</f>
        <v>0.16969732097887016</v>
      </c>
      <c r="I13" s="857">
        <f>IF(ISNUMBER(((NºAsuntos!I13/NºAsuntos!G13)-Datos!BE13)/Datos!BE13),((NºAsuntos!I13/NºAsuntos!G13)-Datos!BE13)/Datos!BE13," - ")</f>
        <v>0.39807287612787917</v>
      </c>
      <c r="J13" s="857">
        <f>IF(ISNUMBER((('Resol  Asuntos'!D13/NºAsuntos!G13)-Datos!BF13)/Datos!BF13),(('Resol  Asuntos'!D13/NºAsuntos!G13)-Datos!BF13)/Datos!BF13," - ")</f>
        <v>0.19931536935217586</v>
      </c>
      <c r="K13" s="857">
        <f>IF(ISNUMBER((((NºAsuntos!C13+NºAsuntos!E13)/NºAsuntos!G13)-Datos!BG13)/Datos!BG13),(((NºAsuntos!C13+NºAsuntos!E13)/NºAsuntos!G13)-Datos!BG13)/Datos!BG13," - ")</f>
        <v>0.27706271256072401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0.3653250773993808</v>
      </c>
      <c r="C16" s="456">
        <f>IF(ISNUMBER(
   IF(D_I="SI",(Datos!J16-Datos!T16)/Datos!T16,(Datos!J16+Datos!AD16-(Datos!T16+Datos!AL16))/(Datos!T16+Datos!AL16))
     ),IF(D_I="SI",(Datos!J16-Datos!T16)/Datos!T16,(Datos!J16+Datos!AD16-(Datos!T16+Datos!AL16))/(Datos!T16+Datos!AL16))," - ")</f>
        <v>0.12124352331606218</v>
      </c>
      <c r="D16" s="456">
        <f>IF(ISNUMBER(
   IF(D_I="SI",(Datos!K16-Datos!U16)/Datos!U16,(Datos!K16+Datos!AE16-(Datos!U16+Datos!AM16))/(Datos!U16+Datos!AM16))
     ),IF(D_I="SI",(Datos!K16-Datos!U16)/Datos!U16,(Datos!K16+Datos!AE16-(Datos!U16+Datos!AM16))/(Datos!U16+Datos!AM16))," - ")</f>
        <v>0.47318235995232422</v>
      </c>
      <c r="E16" s="456">
        <f>IF(ISNUMBER(
   IF(D_I="SI",(Datos!L16-Datos!V16)/Datos!V16,(Datos!L16+Datos!AF16-(Datos!V16+Datos!AN16))/(Datos!V16+Datos!AN16))
     ),IF(D_I="SI",(Datos!L16-Datos!V16)/Datos!V16,(Datos!L16+Datos!AF16-(Datos!V16+Datos!AN16))/(Datos!V16+Datos!AN16))," - ")</f>
        <v>0.13281799016163034</v>
      </c>
      <c r="F16" s="456">
        <f>IF(ISNUMBER((Datos!M16-Datos!W16)/Datos!W16),(Datos!M16-Datos!W16)/Datos!W16," - ")</f>
        <v>0.30172413793103448</v>
      </c>
      <c r="G16" s="457">
        <f>IF(ISNUMBER((Datos!N16-Datos!X16)/Datos!X16),(Datos!N16-Datos!X16)/Datos!X16," - ")</f>
        <v>0.22165820642978004</v>
      </c>
      <c r="H16" s="455">
        <f>IF(ISNUMBER(((NºAsuntos!G16/NºAsuntos!E16)-Datos!BD16)/Datos!BD16),((NºAsuntos!G16/NºAsuntos!E16)-Datos!BD16)/Datos!BD16," - ")</f>
        <v>0.31388260383918004</v>
      </c>
      <c r="I16" s="456">
        <f>IF(ISNUMBER(((NºAsuntos!I16/NºAsuntos!G16)-Datos!BE16)/Datos!BE16),((NºAsuntos!I16/NºAsuntos!G16)-Datos!BE16)/Datos!BE16," - ")</f>
        <v>-0.23104021541617487</v>
      </c>
      <c r="J16" s="461">
        <f>IF(ISNUMBER((('Resol  Asuntos'!D16/NºAsuntos!G16)-Datos!BF16)/Datos!BF16),(('Resol  Asuntos'!D16/NºAsuntos!G16)-Datos!BF16)/Datos!BF16," - ")</f>
        <v>-0.11638628501283337</v>
      </c>
      <c r="K16" s="462">
        <f>IF(ISNUMBER((((NºAsuntos!C16+NºAsuntos!E16)/NºAsuntos!G16)-Datos!BG16)/Datos!BG16),(((NºAsuntos!C16+NºAsuntos!E16)/NºAsuntos!G16)-Datos!BG16)/Datos!BG16," - ")</f>
        <v>-0.14405309336074895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0.93548387096774188</v>
      </c>
      <c r="C17" s="456">
        <f>IF(ISNUMBER(
   IF(D_I="SI",(Datos!J17-Datos!T17)/Datos!T17,(Datos!J17+Datos!AD17-(Datos!T17+Datos!AL17))/(Datos!T17+Datos!AL17))
     ),IF(D_I="SI",(Datos!J17-Datos!T17)/Datos!T17,(Datos!J17+Datos!AD17-(Datos!T17+Datos!AL17))/(Datos!T17+Datos!AL17))," - ")</f>
        <v>0.3559322033898305</v>
      </c>
      <c r="D17" s="456">
        <f>IF(ISNUMBER(
   IF(D_I="SI",(Datos!K17-Datos!U17)/Datos!U17,(Datos!K17+Datos!AE17-(Datos!U17+Datos!AM17))/(Datos!U17+Datos!AM17))
     ),IF(D_I="SI",(Datos!K17-Datos!U17)/Datos!U17,(Datos!K17+Datos!AE17-(Datos!U17+Datos!AM17))/(Datos!U17+Datos!AM17))," - ")</f>
        <v>0.43859649122807015</v>
      </c>
      <c r="E17" s="456">
        <f>IF(ISNUMBER(
   IF(D_I="SI",(Datos!L17-Datos!V17)/Datos!V17,(Datos!L17+Datos!AF17-(Datos!V17+Datos!AN17))/(Datos!V17+Datos!AN17))
     ),IF(D_I="SI",(Datos!L17-Datos!V17)/Datos!V17,(Datos!L17+Datos!AF17-(Datos!V17+Datos!AN17))/(Datos!V17+Datos!AN17))," - ")</f>
        <v>0.75757575757575757</v>
      </c>
      <c r="F17" s="456">
        <f>IF(ISNUMBER((Datos!M17-Datos!W17)/Datos!W17),(Datos!M17-Datos!W17)/Datos!W17," - ")</f>
        <v>0</v>
      </c>
      <c r="G17" s="457">
        <f>IF(ISNUMBER((Datos!N17-Datos!X17)/Datos!X17),(Datos!N17-Datos!X17)/Datos!X17," - ")</f>
        <v>0.28333333333333333</v>
      </c>
      <c r="H17" s="455">
        <f>IF(ISNUMBER(((NºAsuntos!G17/NºAsuntos!E17)-Datos!BD17)/Datos!BD17),((NºAsuntos!G17/NºAsuntos!E17)-Datos!BD17)/Datos!BD17," - ")</f>
        <v>6.0964912280701687E-2</v>
      </c>
      <c r="I17" s="456">
        <f>IF(ISNUMBER(((NºAsuntos!I17/NºAsuntos!G17)-Datos!BE17)/Datos!BE17),((NºAsuntos!I17/NºAsuntos!G17)-Datos!BE17)/Datos!BE17," - ")</f>
        <v>0.22172949002217282</v>
      </c>
      <c r="J17" s="461">
        <f>IF(ISNUMBER((('Resol  Asuntos'!D17/NºAsuntos!G17)-Datos!BF17)/Datos!BF17),(('Resol  Asuntos'!D17/NºAsuntos!G17)-Datos!BF17)/Datos!BF17," - ")</f>
        <v>-0.3048780487804878</v>
      </c>
      <c r="K17" s="462">
        <f>IF(ISNUMBER((((NºAsuntos!C17+NºAsuntos!E17)/NºAsuntos!G17)-Datos!BG17)/Datos!BG17),(((NºAsuntos!C17+NºAsuntos!E17)/NºAsuntos!G17)-Datos!BG17)/Datos!BG17," - ")</f>
        <v>8.1300813008130038E-2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0.37868480725623582</v>
      </c>
      <c r="C18" s="855">
        <f>IF(ISNUMBER(
   IF(Criterios!B14="SI",(Datos!J18-Datos!T18)/Datos!T18,(Datos!J18+Datos!AD18-(Datos!T18+Datos!AL18))/(Datos!T18+Datos!AL18))
     ),IF(Criterios!B14="SI",(Datos!J18-Datos!T18)/Datos!T18,(Datos!J18+Datos!AD18-(Datos!T18+Datos!AL18))/(Datos!T18+Datos!AL18))," - ")</f>
        <v>0.134765625</v>
      </c>
      <c r="D18" s="855">
        <f>IF(ISNUMBER(
   IF(Criterios!B14="SI",(Datos!K18-Datos!U18)/Datos!U18,(Datos!K18+Datos!AE18-(Datos!U18+Datos!AM18))/(Datos!U18+Datos!AM18))
     ),IF(Criterios!B14="SI",(Datos!K18-Datos!U18)/Datos!U18,(Datos!K18+Datos!AE18-(Datos!U18+Datos!AM18))/(Datos!U18+Datos!AM18))," - ")</f>
        <v>0.47098214285714285</v>
      </c>
      <c r="E18" s="855">
        <f>IF(ISNUMBER(
   IF(Criterios!B14="SI",(Datos!L18-Datos!V18)/Datos!V18,(Datos!L18+Datos!AF18-(Datos!V18+Datos!AN18))/(Datos!V18+Datos!AN18))
     ),IF(Criterios!B14="SI",(Datos!L18-Datos!V18)/Datos!V18,(Datos!L18+Datos!AF18-(Datos!V18+Datos!AN18))/(Datos!V18+Datos!AN18))," - ")</f>
        <v>0.14697802197802198</v>
      </c>
      <c r="F18" s="856">
        <f>IF(ISNUMBER((Datos!M18-Datos!W18)/Datos!W18),(Datos!M18-Datos!W18)/Datos!W18," - ")</f>
        <v>0.29411764705882354</v>
      </c>
      <c r="G18" s="857">
        <f>IF(ISNUMBER((Datos!N18-Datos!X18)/Datos!X18),(Datos!N18-Datos!X18)/Datos!X18," - ")</f>
        <v>0.22734254992319508</v>
      </c>
      <c r="H18" s="857">
        <f>IF(ISNUMBER(((NºAsuntos!G18/NºAsuntos!E18)-Datos!BD18)/Datos!BD18),((NºAsuntos!G18/NºAsuntos!E18)-Datos!BD18)/Datos!BD18," - ")</f>
        <v>0.29628718957462497</v>
      </c>
      <c r="I18" s="857">
        <f>IF(ISNUMBER(((NºAsuntos!I18/NºAsuntos!G18)-Datos!BE18)/Datos!BE18),((NºAsuntos!I18/NºAsuntos!G18)-Datos!BE18)/Datos!BE18," - ")</f>
        <v>-0.22026380296486522</v>
      </c>
      <c r="J18" s="857">
        <f>IF(ISNUMBER((('Resol  Asuntos'!D18/NºAsuntos!G18)-Datos!BF18)/Datos!BF18),(('Resol  Asuntos'!D18/NºAsuntos!G18)-Datos!BF18)/Datos!BF18," - ")</f>
        <v>-0.12023565116486659</v>
      </c>
      <c r="K18" s="857">
        <f>IF(ISNUMBER((((NºAsuntos!C18+NºAsuntos!E18)/NºAsuntos!G18)-Datos!BG18)/Datos!BG18),(((NºAsuntos!C18+NºAsuntos!E18)/NºAsuntos!G18)-Datos!BG18)/Datos!BG18," - ")</f>
        <v>-0.13509319681665097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0.20645161290322581</v>
      </c>
      <c r="C19" s="802">
        <f>IF(ISNUMBER(
   IF(J_V="SI",(Datos!J19-Datos!T19)/Datos!T19,(Datos!J19+Datos!Z19-(Datos!T19+Datos!AH19))/(Datos!T19+Datos!AH19))
     ),IF(J_V="SI",(Datos!J19-Datos!T19)/Datos!T19,(Datos!J19+Datos!Z19-(Datos!T19+Datos!AH19))/(Datos!T19+Datos!AH19))," - ")</f>
        <v>-0.16544543000385653</v>
      </c>
      <c r="D19" s="802">
        <f>IF(ISNUMBER(
   IF(J_V="SI",(Datos!K19-Datos!U19)/Datos!U19,(Datos!K19+Datos!AA19-(Datos!U19+Datos!AI19))/(Datos!U19+Datos!AI19))
     ),IF(J_V="SI",(Datos!K19-Datos!U19)/Datos!U19,(Datos!K19+Datos!AA19-(Datos!U19+Datos!AI19))/(Datos!U19+Datos!AI19))," - ")</f>
        <v>1.796157059314954E-2</v>
      </c>
      <c r="E19" s="802">
        <f>IF(ISNUMBER(
   IF(J_V="SI",(Datos!L19-Datos!V19)/Datos!V19,(Datos!L19+Datos!AB19-(Datos!V19+Datos!AJ19))/(Datos!V19+Datos!AJ19))
     ),IF(J_V="SI",(Datos!L19-Datos!V19)/Datos!V19,(Datos!L19+Datos!AB19-(Datos!V19+Datos!AJ19))/(Datos!V19+Datos!AJ19))," - ")</f>
        <v>7.8068592057761732E-2</v>
      </c>
      <c r="F19" s="803">
        <f>IF(ISNUMBER((Datos!M19-Datos!W19)/Datos!W19),(Datos!M19-Datos!W19)/Datos!W19," - ")</f>
        <v>0.31989924433249373</v>
      </c>
      <c r="G19" s="804">
        <f>IF(ISNUMBER((Datos!N19-Datos!X19)/Datos!X19),(Datos!N19-Datos!X19)/Datos!X19," - ")</f>
        <v>7.6127819548872183E-2</v>
      </c>
      <c r="H19" s="805">
        <f>IF(ISNUMBER((Tasas!B19-Datos!BD19)/Datos!BD19),(Tasas!B19-Datos!BD19)/Datos!BD19," - ")</f>
        <v>0.21976633666729975</v>
      </c>
      <c r="I19" s="806">
        <f>IF(ISNUMBER((Tasas!C19-Datos!BE19)/Datos!BE19),(Tasas!C19-Datos!BE19)/Datos!BE19," - ")</f>
        <v>5.9046454405532071E-2</v>
      </c>
      <c r="J19" s="807">
        <f>IF(ISNUMBER((Tasas!D19-Datos!BF19)/Datos!BF19),(Tasas!D19-Datos!BF19)/Datos!BF19," - ")</f>
        <v>-3.2416906032006504E-2</v>
      </c>
      <c r="K19" s="807">
        <f>IF(ISNUMBER((Tasas!E19-Datos!BG19)/Datos!BG19),(Tasas!E19-Datos!BG19)/Datos!BG19," - ")</f>
        <v>4.5401176632550735E-2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q6CHE3lJ8E8+oem6kA3owvFZbjaahMo17fH6DjrlyGNsRocQwxyykiTXvxnUNErNa2v5OOAnFZUlXNyVL5qOw==" saltValue="Lobz49tNsF0sl2wrq22y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LA BISBAL D'EMPORDA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3.4</v>
      </c>
      <c r="D10" s="444">
        <f>IF(ISNUMBER('Resol  Asuntos'!D10/NºAsuntos!G10),'Resol  Asuntos'!D10/NºAsuntos!G10," - ")</f>
        <v>0.6</v>
      </c>
      <c r="E10" s="445">
        <f>IF(ISNUMBER((NºAsuntos!C10+NºAsuntos!E10)/NºAsuntos!G10),(NºAsuntos!C10+NºAsuntos!E10)/NºAsuntos!G10," - ")</f>
        <v>4.4000000000000004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1.1173520561685055</v>
      </c>
      <c r="C12" s="443">
        <f>IF(ISNUMBER(NºAsuntos!I12/NºAsuntos!G12),NºAsuntos!I12/NºAsuntos!G12," - ")</f>
        <v>2.7746858168761221</v>
      </c>
      <c r="D12" s="444">
        <f>IF(ISNUMBER('Resol  Asuntos'!D12/NºAsuntos!G12),'Resol  Asuntos'!D12/NºAsuntos!G12," - ")</f>
        <v>0.32944344703770195</v>
      </c>
      <c r="E12" s="445">
        <f>IF(ISNUMBER((NºAsuntos!C12+NºAsuntos!E12)/NºAsuntos!G12),(NºAsuntos!C12+NºAsuntos!E12)/NºAsuntos!G12," - ")</f>
        <v>3.7746858168761221</v>
      </c>
      <c r="G12" s="463"/>
    </row>
    <row r="13" spans="1:7" ht="14.25" thickTop="1" thickBot="1">
      <c r="A13" s="848" t="str">
        <f>Datos!A13</f>
        <v>TOTAL</v>
      </c>
      <c r="B13" s="858">
        <f>IF(ISNUMBER(NºAsuntos!G13/NºAsuntos!E13),NºAsuntos!G13/NºAsuntos!E13," - ")</f>
        <v>1.1167664670658684</v>
      </c>
      <c r="C13" s="859">
        <f>IF(ISNUMBER(NºAsuntos!I13/NºAsuntos!G13),NºAsuntos!I13/NºAsuntos!G13," - ")</f>
        <v>2.7774798927613942</v>
      </c>
      <c r="D13" s="860">
        <f>IF(ISNUMBER('Resol  Asuntos'!D13/NºAsuntos!G13),'Resol  Asuntos'!D13/NºAsuntos!G13," - ")</f>
        <v>0.33065236818588023</v>
      </c>
      <c r="E13" s="861">
        <f>IF(ISNUMBER((NºAsuntos!C13+NºAsuntos!E13)/NºAsuntos!G13),(NºAsuntos!C13+NºAsuntos!E13)/NºAsuntos!G13," - ")</f>
        <v>3.7774798927613942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1.1423290203327172</v>
      </c>
      <c r="C16" s="443">
        <f>IF(ISNUMBER(NºAsuntos!I16/NºAsuntos!G16),NºAsuntos!I16/NºAsuntos!G16," - ")</f>
        <v>1.3042071197411003</v>
      </c>
      <c r="D16" s="444">
        <f>IF(ISNUMBER('Resol  Asuntos'!D16/NºAsuntos!G16),'Resol  Asuntos'!D16/NºAsuntos!G16," - ")</f>
        <v>0.12216828478964402</v>
      </c>
      <c r="E16" s="445">
        <f>IF(ISNUMBER((NºAsuntos!C16+NºAsuntos!E16)/NºAsuntos!G16),(NºAsuntos!C16+NºAsuntos!E16)/NºAsuntos!G16," - ")</f>
        <v>2.3025889967637538</v>
      </c>
      <c r="G16" s="463"/>
    </row>
    <row r="17" spans="1:7" ht="13.5" thickBot="1">
      <c r="A17" s="402" t="str">
        <f>Datos!A17</f>
        <v>Jdos. Violencia contra la mujer</v>
      </c>
      <c r="B17" s="442">
        <f>IF(ISNUMBER(NºAsuntos!G17/NºAsuntos!E17),NºAsuntos!G17/NºAsuntos!E17," - ")</f>
        <v>1.0249999999999999</v>
      </c>
      <c r="C17" s="443">
        <f>IF(ISNUMBER(NºAsuntos!I17/NºAsuntos!G17),NºAsuntos!I17/NºAsuntos!G17," - ")</f>
        <v>0.70731707317073167</v>
      </c>
      <c r="D17" s="444">
        <f>IF(ISNUMBER('Resol  Asuntos'!D17/NºAsuntos!G17),'Resol  Asuntos'!D17/NºAsuntos!G17," - ")</f>
        <v>3.6585365853658534E-2</v>
      </c>
      <c r="E17" s="445">
        <f>IF(ISNUMBER((NºAsuntos!C17+NºAsuntos!E17)/NºAsuntos!G17),(NºAsuntos!C17+NºAsuntos!E17)/NºAsuntos!G17," - ")</f>
        <v>1.7073170731707317</v>
      </c>
      <c r="G17" s="463"/>
    </row>
    <row r="18" spans="1:7" ht="14.25" thickTop="1" thickBot="1">
      <c r="A18" s="848" t="str">
        <f>Datos!A18</f>
        <v>TOTAL</v>
      </c>
      <c r="B18" s="858">
        <f>IF(ISNUMBER(NºAsuntos!G18/NºAsuntos!E18),NºAsuntos!G18/NºAsuntos!E18," - ")</f>
        <v>1.1342512908777969</v>
      </c>
      <c r="C18" s="859">
        <f>IF(ISNUMBER(NºAsuntos!I18/NºAsuntos!G18),NºAsuntos!I18/NºAsuntos!G18," - ")</f>
        <v>1.267071320182094</v>
      </c>
      <c r="D18" s="862">
        <f>IF(ISNUMBER('Resol  Asuntos'!D18/NºAsuntos!G18),'Resol  Asuntos'!D18/NºAsuntos!G18," - ")</f>
        <v>0.11684370257966616</v>
      </c>
      <c r="E18" s="861">
        <f>IF(ISNUMBER((NºAsuntos!C18+NºAsuntos!E18)/NºAsuntos!G18),(NºAsuntos!C18+NºAsuntos!E18)/NºAsuntos!G18," - ")</f>
        <v>2.2655538694992412</v>
      </c>
      <c r="G18" s="463"/>
    </row>
    <row r="19" spans="1:7" ht="15.75" customHeight="1" thickTop="1" thickBot="1">
      <c r="A19" s="793" t="str">
        <f>Datos!A19</f>
        <v>TOTAL JURISDICCIONES</v>
      </c>
      <c r="B19" s="808">
        <f>IF(ISNUMBER(NºAsuntos!G19/NºAsuntos!E19),NºAsuntos!G19/NºAsuntos!E19," - ")</f>
        <v>1.1261552680221811</v>
      </c>
      <c r="C19" s="809">
        <f>IF(ISNUMBER(NºAsuntos!I19/NºAsuntos!G19),NºAsuntos!I19/NºAsuntos!G19," - ")</f>
        <v>1.9606073040623717</v>
      </c>
      <c r="D19" s="810">
        <f>IF(ISNUMBER('Resol  Asuntos'!D19/NºAsuntos!G19),'Resol  Asuntos'!D19/NºAsuntos!G19," - ")</f>
        <v>0.21501846532622076</v>
      </c>
      <c r="E19" s="811">
        <f>IF(ISNUMBER((NºAsuntos!C19+NºAsuntos!E19)/NºAsuntos!G19),(NºAsuntos!C19+NºAsuntos!E19)/NºAsuntos!G19," - ")</f>
        <v>2.9597866228970044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kYBKtEBj+Os9bipdYOSfKvM6KUC3l1+QPLeN8LucE0ha9MEGz0qWCrB3kmrX09jahJPaPKbfWtoLZDUTpMm6g==" saltValue="AD3LP7lZraaqFDg59OOP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LA BISBAL D'EMPORDA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2</v>
      </c>
      <c r="Y10" s="334">
        <f t="shared" ref="Y10:Y12" si="0">SUM(W10:X10)</f>
        <v>7</v>
      </c>
      <c r="Z10" s="335" t="str">
        <f>IF(ISNUMBER(Datos!CC10),Datos!CC10," - ")</f>
        <v xml:space="preserve"> - </v>
      </c>
      <c r="AA10" s="332">
        <f>IF(ISNUMBER(Datos!L10),Datos!L10,"-")</f>
        <v>17</v>
      </c>
      <c r="AB10" s="334">
        <f>IF(ISNUMBER(Datos!R10),Datos!R10," - ")</f>
        <v>20</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10.199999999999999</v>
      </c>
      <c r="AN10" s="244">
        <f>IF(ISNUMBER('Resol  Asuntos'!D10/NºAsuntos!G10),'Resol  Asuntos'!D10/NºAsuntos!G10," - ")</f>
        <v>0.6</v>
      </c>
      <c r="AO10" s="245">
        <f>IF(ISNUMBER((NºAsuntos!C10+NºAsuntos!E10)/NºAsuntos!G10),(NºAsuntos!C10+NºAsuntos!E10)/NºAsuntos!G10," - ")</f>
        <v>4.4000000000000004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174</v>
      </c>
      <c r="Y12" s="334">
        <f t="shared" si="0"/>
        <v>174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367</v>
      </c>
      <c r="AJ12" s="229" t="str">
        <f>IF(ISNUMBER(Datos!BW12),Datos!BW12," - ")</f>
        <v xml:space="preserve"> - </v>
      </c>
      <c r="AK12" s="228" t="str">
        <f>IF(ISNUMBER(Datos!BX12),Datos!BX12," - ")</f>
        <v xml:space="preserve"> - </v>
      </c>
      <c r="AL12" s="243">
        <f>IF(ISNUMBER(NºAsuntos!G12/NºAsuntos!E12),NºAsuntos!G12/NºAsuntos!E12," - ")</f>
        <v>1.1173520561685055</v>
      </c>
      <c r="AM12" s="260">
        <f>IF(ISNUMBER(((NºAsuntos!I12/NºAsuntos!G12)*11)/factor_trimestre),((NºAsuntos!I12/NºAsuntos!G12)*11)/factor_trimestre," - ")</f>
        <v>8.3240574506283664</v>
      </c>
      <c r="AN12" s="244">
        <f>IF(ISNUMBER('Resol  Asuntos'!D12/NºAsuntos!G12),'Resol  Asuntos'!D12/NºAsuntos!G12," - ")</f>
        <v>0.32944344703770195</v>
      </c>
      <c r="AO12" s="245">
        <f>IF(ISNUMBER((NºAsuntos!C12+NºAsuntos!E12)/NºAsuntos!G12),(NºAsuntos!C12+NºAsuntos!E12)/NºAsuntos!G12," - ")</f>
        <v>3.7746858168761221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17</v>
      </c>
      <c r="G13" s="866">
        <f t="shared" si="3"/>
        <v>17</v>
      </c>
      <c r="H13" s="865">
        <f t="shared" si="3"/>
        <v>0</v>
      </c>
      <c r="I13" s="867">
        <f t="shared" si="3"/>
        <v>0</v>
      </c>
      <c r="J13" s="867">
        <f t="shared" si="3"/>
        <v>0</v>
      </c>
      <c r="K13" s="867">
        <f t="shared" si="3"/>
        <v>0</v>
      </c>
      <c r="L13" s="867">
        <f t="shared" si="3"/>
        <v>220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176</v>
      </c>
      <c r="Y13" s="868">
        <f t="shared" si="4"/>
        <v>181</v>
      </c>
      <c r="Z13" s="868">
        <f t="shared" si="4"/>
        <v>0</v>
      </c>
      <c r="AA13" s="868">
        <f t="shared" si="4"/>
        <v>17</v>
      </c>
      <c r="AB13" s="868">
        <f t="shared" si="4"/>
        <v>5108</v>
      </c>
      <c r="AC13" s="868">
        <f t="shared" si="4"/>
        <v>37</v>
      </c>
      <c r="AD13" s="868">
        <f t="shared" si="4"/>
        <v>0</v>
      </c>
      <c r="AE13" s="872">
        <f t="shared" si="4"/>
        <v>0</v>
      </c>
      <c r="AF13" s="865">
        <f t="shared" si="4"/>
        <v>0</v>
      </c>
      <c r="AG13" s="873">
        <f t="shared" si="4"/>
        <v>0</v>
      </c>
      <c r="AH13" s="870">
        <f t="shared" si="4"/>
        <v>0</v>
      </c>
      <c r="AI13" s="865">
        <f t="shared" si="4"/>
        <v>370</v>
      </c>
      <c r="AJ13" s="867">
        <f t="shared" si="4"/>
        <v>0</v>
      </c>
      <c r="AK13" s="870">
        <f>SUBTOTAL(9,AK9:AK12)</f>
        <v>0</v>
      </c>
      <c r="AL13" s="874">
        <f>IF(ISNUMBER(NºAsuntos!G13/NºAsuntos!E13),NºAsuntos!G13/NºAsuntos!E13," - ")</f>
        <v>1.1167664670658684</v>
      </c>
      <c r="AM13" s="874">
        <f>IF(ISNUMBER(((NºAsuntos!I13/NºAsuntos!G13)*11)/factor_trimestre),((NºAsuntos!I13/NºAsuntos!G13)*11)/factor_trimestre," - ")</f>
        <v>8.3324396782841834</v>
      </c>
      <c r="AN13" s="875">
        <f>IF(ISNUMBER('Resol  Asuntos'!D13/NºAsuntos!G13),'Resol  Asuntos'!D13/NºAsuntos!G13," - ")</f>
        <v>0.33065236818588023</v>
      </c>
      <c r="AO13" s="876">
        <f>IF(ISNUMBER((NºAsuntos!C13+NºAsuntos!E13)/NºAsuntos!G13),(NºAsuntos!C13+NºAsuntos!E13)/NºAsuntos!G13," - ")</f>
        <v>3.7774798927613942</v>
      </c>
      <c r="AP13" s="877" t="str">
        <f t="shared" si="2"/>
        <v xml:space="preserve"> - </v>
      </c>
      <c r="AQ13" s="877">
        <f>IF(ISNUMBER((H13-W13+K13)/(F13)),(H13-W13+K13)/(F13)," - ")</f>
        <v>-0.29411764705882354</v>
      </c>
      <c r="AR13" s="878">
        <f>IF(ISNUMBER((Datos!P13-Datos!Q13)/(Datos!R13-Datos!P13+Datos!Q13)),(Datos!P13-Datos!Q13)/(Datos!R13-Datos!P13+Datos!Q13)," - ")</f>
        <v>8.6887835703001581E-3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1766</v>
      </c>
      <c r="G16" s="333">
        <f>IF(ISNUMBER(IF(D_I="SI",Datos!I16,Datos!I16+Datos!AC16)),IF(D_I="SI",Datos!I16,Datos!I16+Datos!AC16)," - ")</f>
        <v>1764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1236</v>
      </c>
      <c r="X16" s="226">
        <f>IF(ISNUMBER(Datos!Q16),Datos!Q16," - ")</f>
        <v>36</v>
      </c>
      <c r="Y16" s="334">
        <f t="shared" ref="Y16:Y17" si="7">SUM(W16:X16)</f>
        <v>1272</v>
      </c>
      <c r="Z16" s="335" t="str">
        <f>IF(ISNUMBER(Datos!CC16),Datos!CC16," - ")</f>
        <v xml:space="preserve"> - </v>
      </c>
      <c r="AA16" s="332">
        <f>IF(ISNUMBER(IF(D_I="SI",Datos!L16,Datos!L16+Datos!AF16)),IF(D_I="SI",Datos!L16,Datos!L16+Datos!AF16)," - ")</f>
        <v>1612</v>
      </c>
      <c r="AB16" s="334">
        <f>IF(ISNUMBER(Datos!R16),Datos!R16," - ")</f>
        <v>111</v>
      </c>
      <c r="AC16" s="334">
        <f t="shared" si="6"/>
        <v>1723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151</v>
      </c>
      <c r="AJ16" s="231" t="str">
        <f>IF(ISNUMBER(Datos!BW16),Datos!BW16," - ")</f>
        <v xml:space="preserve"> - </v>
      </c>
      <c r="AK16" s="232" t="str">
        <f>IF(ISNUMBER(Datos!BX16),Datos!BX16," - ")</f>
        <v xml:space="preserve"> - </v>
      </c>
      <c r="AL16" s="243">
        <f>IF(ISNUMBER(NºAsuntos!G16/NºAsuntos!E16),NºAsuntos!G16/NºAsuntos!E16," - ")</f>
        <v>1.1423290203327172</v>
      </c>
      <c r="AM16" s="260">
        <f>IF(ISNUMBER(((NºAsuntos!I16/NºAsuntos!G16)*11)/factor_trimestre),((NºAsuntos!I16/NºAsuntos!G16)*11)/factor_trimestre," - ")</f>
        <v>3.912621359223301</v>
      </c>
      <c r="AN16" s="244">
        <f>IF(ISNUMBER('Resol  Asuntos'!D16/NºAsuntos!G16),'Resol  Asuntos'!D16/NºAsuntos!G16," - ")</f>
        <v>0.12216828478964402</v>
      </c>
      <c r="AO16" s="245">
        <f>IF(ISNUMBER((NºAsuntos!C16+NºAsuntos!E16)/NºAsuntos!G16),(NºAsuntos!C16+NºAsuntos!E16)/NºAsuntos!G16," - ")</f>
        <v>2.3025889967637538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v>
      </c>
      <c r="X17" s="226">
        <f>IF(ISNUMBER(Datos!Q17),Datos!Q17," - ")</f>
        <v>0</v>
      </c>
      <c r="Y17" s="334">
        <f t="shared" si="7"/>
        <v>82</v>
      </c>
      <c r="Z17" s="335" t="str">
        <f>IF(ISNUMBER(Datos!CC17),Datos!CC17," - ")</f>
        <v xml:space="preserve"> - </v>
      </c>
      <c r="AA17" s="332">
        <f>IF(ISNUMBER(Datos!L17),Datos!L17,"-")</f>
        <v>58</v>
      </c>
      <c r="AB17" s="334">
        <f>IF(ISNUMBER(Datos!R17),Datos!R17," - ")</f>
        <v>0</v>
      </c>
      <c r="AC17" s="334">
        <f t="shared" si="6"/>
        <v>58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1.0249999999999999</v>
      </c>
      <c r="AM17" s="260">
        <f>IF(ISNUMBER(((NºAsuntos!I17/NºAsuntos!G17)*11)/factor_trimestre),((NºAsuntos!I17/NºAsuntos!G17)*11)/factor_trimestre," - ")</f>
        <v>2.1219512195121952</v>
      </c>
      <c r="AN17" s="244">
        <f>IF(ISNUMBER('Resol  Asuntos'!D17/NºAsuntos!G17),'Resol  Asuntos'!D17/NºAsuntos!G17," - ")</f>
        <v>3.6585365853658534E-2</v>
      </c>
      <c r="AO17" s="245">
        <f>IF(ISNUMBER((NºAsuntos!C17+NºAsuntos!E17)/NºAsuntos!G17),(NºAsuntos!C17+NºAsuntos!E17)/NºAsuntos!G17," - ")</f>
        <v>1.7073170731707317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1766</v>
      </c>
      <c r="G18" s="866">
        <f>SUBTOTAL(9,G15:G17)</f>
        <v>1824</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1318</v>
      </c>
      <c r="X18" s="867">
        <f t="shared" si="11"/>
        <v>36</v>
      </c>
      <c r="Y18" s="868">
        <f t="shared" si="11"/>
        <v>1354</v>
      </c>
      <c r="Z18" s="868">
        <f t="shared" si="11"/>
        <v>0</v>
      </c>
      <c r="AA18" s="868">
        <f t="shared" si="11"/>
        <v>1670</v>
      </c>
      <c r="AB18" s="868">
        <f t="shared" si="11"/>
        <v>111</v>
      </c>
      <c r="AC18" s="868">
        <f t="shared" si="11"/>
        <v>1781</v>
      </c>
      <c r="AD18" s="868">
        <f t="shared" si="11"/>
        <v>0</v>
      </c>
      <c r="AE18" s="872">
        <f t="shared" si="11"/>
        <v>0</v>
      </c>
      <c r="AF18" s="865">
        <f t="shared" si="11"/>
        <v>0</v>
      </c>
      <c r="AG18" s="873">
        <f t="shared" si="11"/>
        <v>0</v>
      </c>
      <c r="AH18" s="870">
        <f t="shared" si="11"/>
        <v>0</v>
      </c>
      <c r="AI18" s="865">
        <f t="shared" si="11"/>
        <v>154</v>
      </c>
      <c r="AJ18" s="867">
        <f t="shared" si="11"/>
        <v>0</v>
      </c>
      <c r="AK18" s="870">
        <f t="shared" si="11"/>
        <v>0</v>
      </c>
      <c r="AL18" s="874">
        <f>IF(ISNUMBER(NºAsuntos!G18/NºAsuntos!E18),NºAsuntos!G18/NºAsuntos!E18," - ")</f>
        <v>1.1342512908777969</v>
      </c>
      <c r="AM18" s="874">
        <f>IF(ISNUMBER(((NºAsuntos!I18/NºAsuntos!G18)*11)/factor_trimestre),((NºAsuntos!I18/NºAsuntos!G18)*11)/factor_trimestre," - ")</f>
        <v>3.8012139605462818</v>
      </c>
      <c r="AN18" s="875">
        <f>IF(ISNUMBER('Resol  Asuntos'!D18/NºAsuntos!G18),'Resol  Asuntos'!D18/NºAsuntos!G18," - ")</f>
        <v>0.11684370257966616</v>
      </c>
      <c r="AO18" s="876">
        <f>IF(ISNUMBER((NºAsuntos!C18+NºAsuntos!E18)/NºAsuntos!G18),(NºAsuntos!C18+NºAsuntos!E18)/NºAsuntos!G18," - ")</f>
        <v>2.2655538694992412</v>
      </c>
      <c r="AP18" s="877" t="str">
        <f t="shared" si="2"/>
        <v xml:space="preserve"> - </v>
      </c>
      <c r="AQ18" s="877">
        <f>IF(ISNUMBER((H18-W18+K18)/(F18)),(H18-W18+K18)/(F18)," - ")</f>
        <v>-0.74631936579841451</v>
      </c>
      <c r="AR18" s="878">
        <f>IF(ISNUMBER((Datos!P18-Datos!Q18)/(Datos!R18-Datos!P18+Datos!Q18)),(Datos!P18-Datos!Q18)/(Datos!R18-Datos!P18+Datos!Q18)," - ")</f>
        <v>1.834862385321101E-2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1783</v>
      </c>
      <c r="G19" s="821">
        <f t="shared" si="13"/>
        <v>1841</v>
      </c>
      <c r="H19" s="820">
        <f t="shared" si="13"/>
        <v>0</v>
      </c>
      <c r="I19" s="822">
        <f t="shared" si="13"/>
        <v>0</v>
      </c>
      <c r="J19" s="822">
        <f t="shared" si="13"/>
        <v>0</v>
      </c>
      <c r="K19" s="881">
        <f t="shared" si="13"/>
        <v>0</v>
      </c>
      <c r="L19" s="822">
        <f t="shared" si="13"/>
        <v>258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1323</v>
      </c>
      <c r="X19" s="821">
        <f t="shared" si="14"/>
        <v>212</v>
      </c>
      <c r="Y19" s="828">
        <f t="shared" si="14"/>
        <v>1535</v>
      </c>
      <c r="Z19" s="828">
        <f t="shared" si="14"/>
        <v>0</v>
      </c>
      <c r="AA19" s="828">
        <f t="shared" si="14"/>
        <v>1687</v>
      </c>
      <c r="AB19" s="828">
        <f t="shared" si="14"/>
        <v>5219</v>
      </c>
      <c r="AC19" s="828">
        <f t="shared" si="14"/>
        <v>1818</v>
      </c>
      <c r="AD19" s="828">
        <f t="shared" si="14"/>
        <v>0</v>
      </c>
      <c r="AE19" s="830">
        <f t="shared" si="14"/>
        <v>0</v>
      </c>
      <c r="AF19" s="831">
        <f t="shared" si="14"/>
        <v>0</v>
      </c>
      <c r="AG19" s="832">
        <f t="shared" si="14"/>
        <v>0</v>
      </c>
      <c r="AH19" s="830">
        <f t="shared" si="14"/>
        <v>0</v>
      </c>
      <c r="AI19" s="820">
        <f t="shared" si="14"/>
        <v>524</v>
      </c>
      <c r="AJ19" s="820">
        <f t="shared" si="14"/>
        <v>0</v>
      </c>
      <c r="AK19" s="830">
        <f t="shared" si="14"/>
        <v>0</v>
      </c>
      <c r="AL19" s="884">
        <f>IF(ISNUMBER(NºAsuntos!G19/NºAsuntos!E19),NºAsuntos!G19/NºAsuntos!E19," - ")</f>
        <v>1.1261552680221811</v>
      </c>
      <c r="AM19" s="885">
        <f>IF(ISNUMBER(((NºAsuntos!I19/NºAsuntos!G19)*11)/factor_trimestre),((NºAsuntos!I19/NºAsuntos!G19)*11)/factor_trimestre," - ")</f>
        <v>5.8818219121871147</v>
      </c>
      <c r="AN19" s="885">
        <f>IF(ISNUMBER('Resol  Asuntos'!D19/NºAsuntos!G19),'Resol  Asuntos'!D19/NºAsuntos!G19," - ")</f>
        <v>0.21501846532622076</v>
      </c>
      <c r="AO19" s="886">
        <f>IF(ISNUMBER((NºAsuntos!C19+NºAsuntos!E19)/NºAsuntos!G19),(NºAsuntos!C19+NºAsuntos!E19)/NºAsuntos!G19," - ")</f>
        <v>2.9597866228970044</v>
      </c>
      <c r="AP19" s="887" t="str">
        <f t="shared" si="2"/>
        <v xml:space="preserve"> - </v>
      </c>
      <c r="AQ19" s="888">
        <f>IF(OR(ISNUMBER(FIND("01",Criterios!A8,1)),ISNUMBER(FIND("02",Criterios!A8,1)),ISNUMBER(FIND("03",Criterios!A8,1)),ISNUMBER(FIND("04",Criterios!A8,1))),(I19-W19+K19)/(F19-K19),(H19-W19+K19)/(F19-K19))</f>
        <v>-0.74200785193494112</v>
      </c>
      <c r="AR19" s="889">
        <f>IF(ISNUMBER((Datos!P19-Datos!Q19)/(Datos!R19-Datos!P19+Datos!Q19)),(Datos!P19-Datos!Q19)/(Datos!R19-Datos!P19+Datos!Q19)," - ")</f>
        <v>8.8923255364392034E-3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1009.7856208126555</v>
      </c>
      <c r="G21" s="253">
        <f>IF(ISNUMBER(STDEV(G8:G18)),STDEV(G8:G18),"-")</f>
        <v>965.8448633191565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683.98296762419454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164.36139043786002</v>
      </c>
      <c r="AJ21" s="252">
        <f t="shared" si="18"/>
        <v>0</v>
      </c>
      <c r="AK21" s="254">
        <f t="shared" si="18"/>
        <v>0</v>
      </c>
      <c r="AL21" s="249">
        <f t="shared" si="18"/>
        <v>6.0799668603775378E-2</v>
      </c>
      <c r="AM21" s="250">
        <f t="shared" si="18"/>
        <v>3.2444633995436294</v>
      </c>
      <c r="AN21" s="250">
        <f t="shared" si="18"/>
        <v>0.2072298651657436</v>
      </c>
      <c r="AO21" s="251">
        <f t="shared" si="18"/>
        <v>1.0819242026306515</v>
      </c>
      <c r="AP21" s="291" t="str">
        <f t="shared" si="18"/>
        <v>-</v>
      </c>
      <c r="AQ21" s="292">
        <f t="shared" si="18"/>
        <v>0.31975490178497673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90/rZArX2AkqFF1+KYZ6TUMt1cuMrzT+74E5mf8rzSWqzpI1LqnxrSNvcFHwb2bQDIGqBS+H/xgFxfKSaefJw==" saltValue="9Q4ar4b8/8iY2HQwPDtV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LA BISBAL D'EMPORDA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0.88888888888888884</v>
      </c>
      <c r="E10" s="348">
        <f>IF(ISNUMBER((Datos!J10-Datos!T10)/Datos!T10),(Datos!J10-Datos!T10)/Datos!T10," - ")</f>
        <v>4</v>
      </c>
      <c r="F10" s="348" t="str">
        <f>IF(ISNUMBER((Datos!K10-Datos!U10)/Datos!U10),(Datos!K10-Datos!U10)/Datos!U10," - ")</f>
        <v xml:space="preserve"> - </v>
      </c>
      <c r="G10" s="349">
        <f>IF(ISNUMBER((Datos!L10-Datos!V10)/Datos!V10),(Datos!L10-Datos!V10)/Datos!V10," - ")</f>
        <v>0.7</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0.32014388489208634</v>
      </c>
      <c r="I12" s="350">
        <f>IF(ISNUMBER((Tasas!C12-Datos!BE12)/Datos!BE12),(Tasas!C12-Datos!BE12)/Datos!BE12," - ")</f>
        <v>0.40137537211073199</v>
      </c>
      <c r="J12" s="349">
        <f>IF(ISNUMBER((Tasas!D12-Datos!BF12)/Datos!BF12),(Tasas!D12-Datos!BF12)/Datos!BF12," - ")</f>
        <v>0.19493046891641058</v>
      </c>
      <c r="K12" s="351">
        <f>IF(ISNUMBER((Tasas!E12-Datos!BG12)/Datos!BG12),(Tasas!E12-Datos!BG12)/Datos!BG12," - ")</f>
        <v>0.27900460386347675</v>
      </c>
      <c r="M12" t="e">
        <f>IF(Monitorios="SI",Datos!CE12,0)</f>
        <v>#REF!</v>
      </c>
      <c r="N12" t="e">
        <f>IF(Monitorios="SI",Datos!CF12,0)</f>
        <v>#REF!</v>
      </c>
      <c r="O12" t="e">
        <f>IF(Monitorios="SI",Datos!CG12,0)</f>
        <v>#REF!</v>
      </c>
      <c r="P12" t="e">
        <f>IF(Monitorios="SI",Datos!CH12,0)</f>
        <v>#REF!</v>
      </c>
      <c r="Q12">
        <f>IF(J_V="SI",0,Datos!AG12)</f>
        <v>30</v>
      </c>
      <c r="R12">
        <f>IF(J_V="SI",0,Datos!AH12)</f>
        <v>23</v>
      </c>
      <c r="S12">
        <f>IF(J_V="SI",0,Datos!AI12)</f>
        <v>35</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0.33093525179856115</v>
      </c>
      <c r="I13" s="357">
        <f>IF(ISNUMBER((Tasas!C13-Datos!BE13)/Datos!BE13),(Tasas!C13-Datos!BE13)/Datos!BE13," - ")</f>
        <v>0.39807287612787917</v>
      </c>
      <c r="J13" s="355">
        <f>IF(ISNUMBER((Tasas!D13-Datos!BF13)/Datos!BF13),(Tasas!D13-Datos!BF13)/Datos!BF13," - ")</f>
        <v>0.19931536935217586</v>
      </c>
      <c r="K13" s="358">
        <f>IF(ISNUMBER((Tasas!E13-Datos!BG13)/Datos!BG13),(Tasas!E13-Datos!BG13)/Datos!BG13," - ")</f>
        <v>0.27706271256072401</v>
      </c>
      <c r="M13" t="e">
        <f>IF(Monitorios="SI",Datos!CE13,0)</f>
        <v>#REF!</v>
      </c>
      <c r="N13" t="e">
        <f>IF(Monitorios="SI",Datos!CF13,0)</f>
        <v>#REF!</v>
      </c>
      <c r="O13" t="e">
        <f>IF(Monitorios="SI",Datos!CG13,0)</f>
        <v>#REF!</v>
      </c>
      <c r="P13" t="e">
        <f>IF(Monitorios="SI",Datos!CH13,0)</f>
        <v>#REF!</v>
      </c>
      <c r="Q13">
        <f>IF(J_V="SI",0,Datos!AG13)</f>
        <v>30</v>
      </c>
      <c r="R13">
        <f>IF(J_V="SI",0,Datos!AH13)</f>
        <v>23</v>
      </c>
      <c r="S13">
        <f>IF(J_V="SI",0,Datos!AI13)</f>
        <v>35</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0.3653250773993808</v>
      </c>
      <c r="E16" s="348">
        <f>IF(ISNUMBER(
   IF(D_I="SI",(Datos!J16-Datos!T16)/Datos!T16,(Datos!J16+Datos!AD16-(Datos!T16+Datos!AL16))/(Datos!T16+Datos!AL16))
     ),IF(D_I="SI",(Datos!J16-Datos!T16)/Datos!T16,(Datos!J16+Datos!AD16-(Datos!T16+Datos!AL16))/(Datos!T16+Datos!AL16))," - ")</f>
        <v>0.12124352331606218</v>
      </c>
      <c r="F16" s="348">
        <f>IF(ISNUMBER(
   IF(D_I="SI",(Datos!K16-Datos!U16)/Datos!U16,(Datos!K16+Datos!AE16-(Datos!U16+Datos!AM16))/(Datos!U16+Datos!AM16))
     ),IF(D_I="SI",(Datos!K16-Datos!U16)/Datos!U16,(Datos!K16+Datos!AE16-(Datos!U16+Datos!AM16))/(Datos!U16+Datos!AM16))," - ")</f>
        <v>0.47318235995232422</v>
      </c>
      <c r="G16" s="349">
        <f>IF(ISNUMBER(
   IF(D_I="SI",(Datos!L16-Datos!V16)/Datos!V16,(Datos!L16+Datos!AF16-(Datos!V16+Datos!AN16))/(Datos!V16+Datos!AN16))
     ),IF(D_I="SI",(Datos!L16-Datos!V16)/Datos!V16,(Datos!L16+Datos!AF16-(Datos!V16+Datos!AN16))/(Datos!V16+Datos!AN16))," - ")</f>
        <v>0.13281799016163034</v>
      </c>
      <c r="H16" s="230">
        <f>IF(ISNUMBER((Datos!M16-Datos!W16)/Datos!W16),(Datos!M16-Datos!W16)/Datos!W16," - ")</f>
        <v>0.30172413793103448</v>
      </c>
      <c r="I16" s="350">
        <f>IF(ISNUMBER((Tasas!C16-Datos!BE16)/Datos!BE16),(Tasas!C16-Datos!BE16)/Datos!BE16," - ")</f>
        <v>-0.23104021541617487</v>
      </c>
      <c r="J16" s="349">
        <f>IF(ISNUMBER((Tasas!D16-Datos!BF16)/Datos!BF16),(Tasas!D16-Datos!BF16)/Datos!BF16," - ")</f>
        <v>-0.11638628501283337</v>
      </c>
      <c r="K16" s="351">
        <f>IF(ISNUMBER((Tasas!E16-Datos!BG16)/Datos!BG16),(Tasas!E16-Datos!BG16)/Datos!BG16," - ")</f>
        <v>-0.14405309336074895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0.93548387096774188</v>
      </c>
      <c r="E17" s="348">
        <f>IF(ISNUMBER(
   IF(D_I="SI",(Datos!J17-Datos!T17)/Datos!T17,(Datos!J17+Datos!AD17-(Datos!T17+Datos!AL17))/(Datos!T17+Datos!AL17))
     ),IF(D_I="SI",(Datos!J17-Datos!T17)/Datos!T17,(Datos!J17+Datos!AD17-(Datos!T17+Datos!AL17))/(Datos!T17+Datos!AL17))," - ")</f>
        <v>0.3559322033898305</v>
      </c>
      <c r="F17" s="348">
        <f>IF(ISNUMBER(
   IF(D_I="SI",(Datos!K17-Datos!U17)/Datos!U17,(Datos!K17+Datos!AE17-(Datos!U17+Datos!AM17))/(Datos!U17+Datos!AM17))
     ),IF(D_I="SI",(Datos!K17-Datos!U17)/Datos!U17,(Datos!K17+Datos!AE17-(Datos!U17+Datos!AM17))/(Datos!U17+Datos!AM17))," - ")</f>
        <v>0.43859649122807015</v>
      </c>
      <c r="G17" s="349">
        <f>IF(ISNUMBER(
   IF(D_I="SI",(Datos!L17-Datos!V17)/Datos!V17,(Datos!L17+Datos!AF17-(Datos!V17+Datos!AN17))/(Datos!V17+Datos!AN17))
     ),IF(D_I="SI",(Datos!L17-Datos!V17)/Datos!V17,(Datos!L17+Datos!AF17-(Datos!V17+Datos!AN17))/(Datos!V17+Datos!AN17))," - ")</f>
        <v>0.75757575757575757</v>
      </c>
      <c r="H17" s="230">
        <f>IF(ISNUMBER((Datos!M17-Datos!W17)/Datos!W17),(Datos!M17-Datos!W17)/Datos!W17," - ")</f>
        <v>0</v>
      </c>
      <c r="I17" s="350">
        <f>IF(ISNUMBER((Tasas!C17-Datos!BE17)/Datos!BE17),(Tasas!C17-Datos!BE17)/Datos!BE17," - ")</f>
        <v>0.22172949002217282</v>
      </c>
      <c r="J17" s="349">
        <f>IF(ISNUMBER((Tasas!D17-Datos!BF17)/Datos!BF17),(Tasas!D17-Datos!BF17)/Datos!BF17," - ")</f>
        <v>-0.3048780487804878</v>
      </c>
      <c r="K17" s="351">
        <f>IF(ISNUMBER((Tasas!E17-Datos!BG17)/Datos!BG17),(Tasas!E17-Datos!BG17)/Datos!BG17," - ")</f>
        <v>8.1300813008130038E-2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0.37868480725623582</v>
      </c>
      <c r="E18" s="354">
        <f>IF(ISNUMBER(
   IF(D_I="SI",(Datos!J18-Datos!T18)/Datos!T18,(Datos!J18+Datos!AD18-(Datos!T18+Datos!AL18))/(Datos!T18+Datos!AL18))
     ),IF(D_I="SI",(Datos!J18-Datos!T18)/Datos!T18,(Datos!J18+Datos!AD18-(Datos!T18+Datos!AL18))/(Datos!T18+Datos!AL18))," - ")</f>
        <v>0.134765625</v>
      </c>
      <c r="F18" s="354">
        <f>IF(ISNUMBER(
   IF(D_I="SI",(Datos!K18-Datos!U18)/Datos!U18,(Datos!K18+Datos!AE18-(Datos!U18+Datos!AM18))/(Datos!U18+Datos!AM18))
     ),IF(D_I="SI",(Datos!K18-Datos!U18)/Datos!U18,(Datos!K18+Datos!AE18-(Datos!U18+Datos!AM18))/(Datos!U18+Datos!AM18))," - ")</f>
        <v>0.47098214285714285</v>
      </c>
      <c r="G18" s="355">
        <f>IF(ISNUMBER(
   IF(D_I="SI",(Datos!L18-Datos!V18)/Datos!V18,(Datos!L18+Datos!AF18-(Datos!V18+Datos!AN18))/(Datos!V18+Datos!AN18))
     ),IF(D_I="SI",(Datos!L18-Datos!V18)/Datos!V18,(Datos!L18+Datos!AF18-(Datos!V18+Datos!AN18))/(Datos!V18+Datos!AN18))," - ")</f>
        <v>0.14697802197802198</v>
      </c>
      <c r="H18" s="356">
        <f>IF(ISNUMBER((Datos!M18-Datos!W18)/Datos!W18),(Datos!M18-Datos!W18)/Datos!W18," - ")</f>
        <v>0.29411764705882354</v>
      </c>
      <c r="I18" s="357">
        <f>IF(ISNUMBER((Tasas!C18-Datos!BE18)/Datos!BE18),(Tasas!C18-Datos!BE18)/Datos!BE18," - ")</f>
        <v>-0.22026380296486522</v>
      </c>
      <c r="J18" s="355">
        <f>IF(ISNUMBER((Tasas!D18-Datos!BF18)/Datos!BF18),(Tasas!D18-Datos!BF18)/Datos!BF18," - ")</f>
        <v>-0.12023565116486659</v>
      </c>
      <c r="K18" s="358">
        <f>IF(ISNUMBER((Tasas!E18-Datos!BG18)/Datos!BG18),(Tasas!E18-Datos!BG18)/Datos!BG18," - ")</f>
        <v>-0.13509319681665097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0.20645161290322581</v>
      </c>
      <c r="E19" s="363">
        <f>IF(ISNUMBER(
   IF(J_V="SI",(Datos!J19-Datos!T19)/Datos!T19,(Datos!J19+Datos!Z19-(Datos!T19+Datos!AH19))/(Datos!T19+Datos!AH19))
     ),IF(J_V="SI",(Datos!J19-Datos!T19)/Datos!T19,(Datos!J19+Datos!Z19-(Datos!T19+Datos!AH19))/(Datos!T19+Datos!AH19))," - ")</f>
        <v>-0.16544543000385653</v>
      </c>
      <c r="F19" s="363">
        <f>IF(ISNUMBER(
   IF(J_V="SI",(Datos!K19-Datos!U19)/Datos!U19,(Datos!K19+Datos!AA19-(Datos!U19+Datos!AI19))/(Datos!U19+Datos!AI19))
     ),IF(J_V="SI",(Datos!K19-Datos!U19)/Datos!U19,(Datos!K19+Datos!AA19-(Datos!U19+Datos!AI19))/(Datos!U19+Datos!AI19))," - ")</f>
        <v>1.796157059314954E-2</v>
      </c>
      <c r="G19" s="364">
        <f>IF(ISNUMBER(
   IF(J_V="SI",(Datos!L19-Datos!V19)/Datos!V19,(Datos!L19+Datos!AB19-(Datos!V19+Datos!AJ19))/(Datos!V19+Datos!AJ19))
     ),IF(J_V="SI",(Datos!L19-Datos!V19)/Datos!V19,(Datos!L19+Datos!AB19-(Datos!V19+Datos!AJ19))/(Datos!V19+Datos!AJ19))," - ")</f>
        <v>7.8068592057761732E-2</v>
      </c>
      <c r="H19" s="365">
        <f>IF(ISNUMBER((Datos!M19-Datos!W19)/Datos!W19),(Datos!M19-Datos!W19)/Datos!W19," - ")</f>
        <v>0.31989924433249373</v>
      </c>
      <c r="I19" s="362">
        <f>IF(ISNUMBER((Tasas!C19-Datos!BE19)/Datos!BE19),(Tasas!C19-Datos!BE19)/Datos!BE19," - ")</f>
        <v>5.9046454405532071E-2</v>
      </c>
      <c r="J19" s="363">
        <f>IF(ISNUMBER((Tasas!D19-Datos!BF19)/Datos!BF19),(Tasas!D19-Datos!BF19)/Datos!BF19," - ")</f>
        <v>-3.2416906032006504E-2</v>
      </c>
      <c r="K19" s="364">
        <f>IF(ISNUMBER((Tasas!E19-Datos!BG19)/Datos!BG19),(Tasas!E19-Datos!BG19)/Datos!BG19," - ")</f>
        <v>4.5401176632550735E-2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0.31250107887629175</v>
      </c>
      <c r="E21" s="278">
        <f t="shared" si="1"/>
        <v>1.901056613320075</v>
      </c>
      <c r="F21" s="278">
        <f t="shared" si="1"/>
        <v>1.9364287154953246E-2</v>
      </c>
      <c r="G21" s="279">
        <f t="shared" si="1"/>
        <v>0.34085628416808178</v>
      </c>
      <c r="H21" s="285">
        <f t="shared" si="1"/>
        <v>0.14017001877497448</v>
      </c>
      <c r="I21" s="277">
        <f t="shared" si="1"/>
        <v>0.31846219693451272</v>
      </c>
      <c r="J21" s="278">
        <f t="shared" si="1"/>
        <v>0.22042047954241625</v>
      </c>
      <c r="K21" s="279">
        <f t="shared" si="1"/>
        <v>0.20889831627696934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P99MJUyFfRvtrLYYqqpTp+t2SpACJF67b6wTo8hXxeMcknIx3/xg50m7IQt9Lp+/f2BqUaN1hqowUKADUxMQg==" saltValue="SspG832tZ6/Ayuqo2LGB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5</v>
      </c>
      <c r="F10" s="226">
        <f>IF(ISNUMBER(Datos!K10),Datos!K10," - ")</f>
        <v>5</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30.521543985637344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1766</v>
      </c>
      <c r="D16" s="225">
        <f>IF(ISNUMBER(IF(D_I="SI",Datos!I16,Datos!I16+Datos!AC16)),IF(D_I="SI",Datos!I16,Datos!I16+Datos!AC16)," - ")</f>
        <v>1764</v>
      </c>
      <c r="E16" s="226">
        <f>IF(ISNUMBER(IF(D_I="SI",Datos!J16,Datos!J16+Datos!AD16)),IF(D_I="SI",Datos!J16,Datos!J16+Datos!AD16)," - ")</f>
        <v>1082</v>
      </c>
      <c r="F16" s="226">
        <f>IF(ISNUMBER(IF(D_I="SI",Datos!K16,Datos!K16+Datos!AE16)),IF(D_I="SI",Datos!K16,Datos!K16+Datos!AE16)," - ")</f>
        <v>1236</v>
      </c>
      <c r="G16" s="1034" t="str">
        <f>IF(Datos!E16&lt;&gt;"",Datos!E16,Datos!D16)</f>
        <v>04</v>
      </c>
      <c r="H16" s="227">
        <f>IF(ISNUMBER(IF(D_I="SI",Datos!L16,Datos!L16+Datos!AF16)),IF(D_I="SI",Datos!L16,Datos!L16+Datos!AF16)," - ")</f>
        <v>1612</v>
      </c>
      <c r="I16" s="1044" t="str">
        <f>IF(ISNUMBER(Datos!AS16/Datos!BM16),Datos!AS16/Datos!BM16," - ")</f>
        <v xml:space="preserve"> - </v>
      </c>
      <c r="J16" s="1045">
        <f>IF(ISNUMBER(Datos!BY16/Datos!CN16),Datos!BY16/Datos!CN16," - ")</f>
        <v>0</v>
      </c>
      <c r="K16" s="230">
        <f t="shared" si="3"/>
        <v>-8.7202718006795021E-2</v>
      </c>
      <c r="L16" s="1025">
        <f>IF(ISNUMBER(NºAsuntos!I16/NºAsuntos!G16),(NºAsuntos!I16/NºAsuntos!G16)*11," - ")</f>
        <v>14.346278317152104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60</v>
      </c>
      <c r="E17" s="226">
        <f>IF(ISNUMBER(IF(D_I="SI",Datos!J17,Datos!J17+Datos!AD17)),IF(D_I="SI",Datos!J17,Datos!J17+Datos!AD17)," - ")</f>
        <v>80</v>
      </c>
      <c r="F17" s="226">
        <f>IF(ISNUMBER(IF(D_I="SI",Datos!K17,Datos!K17+Datos!AE17)),IF(D_I="SI",Datos!K17,Datos!K17+Datos!AE17)," - ")</f>
        <v>82</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-3.3333333333333333E-2</v>
      </c>
      <c r="L17" s="1025">
        <f>IF(ISNUMBER(NºAsuntos!I17/NºAsuntos!G17),(NºAsuntos!I17/NºAsuntos!G17)*11," - ")</f>
        <v>7.7804878048780486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1826</v>
      </c>
      <c r="D18" s="1049">
        <f>SUBTOTAL(9,D15:D17)</f>
        <v>1824</v>
      </c>
      <c r="E18" s="1050">
        <f>SUBTOTAL(9,E15:E17)</f>
        <v>1162</v>
      </c>
      <c r="F18" s="1050">
        <f>SUBTOTAL(9,F15:F17)</f>
        <v>1318</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1843</v>
      </c>
      <c r="D19" s="1071">
        <f>SUBTOTAL(9,D9:D18)</f>
        <v>1841</v>
      </c>
      <c r="E19" s="1072">
        <f>SUBTOTAL(9,E9:E18)</f>
        <v>1167</v>
      </c>
      <c r="F19" s="1072">
        <f>SUBTOTAL(9,F9:F18)</f>
        <v>1323</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8PIWiEZYmm9YsOCRL7jjnM4H+F0NATvkN+HqebhYEt5Fi3AA4k5ehvZGeUakoELqorrKhRM2URSrgGgKEH9mA==" saltValue="xwp53utkjduyQm108Zch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PPonpqo8uIZiJ/nRt+GvyFyE5ION75L9iG2tcoecD05L2Y3XfZ6EcmVgGB0kRuRzpOl3bPNqTVL4gs3NxodNQ==" saltValue="ssSFaJ3QuWGHweKwFkpp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5</v>
      </c>
      <c r="K10" s="181">
        <v>5</v>
      </c>
      <c r="L10" s="181">
        <v>17</v>
      </c>
      <c r="M10" s="181">
        <v>3</v>
      </c>
      <c r="N10" s="181">
        <v>0</v>
      </c>
      <c r="O10" s="181">
        <v>0</v>
      </c>
      <c r="P10" s="181">
        <v>1</v>
      </c>
      <c r="Q10" s="181">
        <v>2</v>
      </c>
      <c r="R10" s="181">
        <v>20</v>
      </c>
      <c r="S10" s="181">
        <v>9</v>
      </c>
      <c r="T10" s="181">
        <v>1</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v>
      </c>
      <c r="BA10" s="129">
        <f t="shared" si="0"/>
        <v>0</v>
      </c>
      <c r="BB10" s="129">
        <f t="shared" si="0"/>
        <v>10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3156</v>
      </c>
      <c r="J12" s="183">
        <v>971</v>
      </c>
      <c r="K12" s="183">
        <v>1091</v>
      </c>
      <c r="L12" s="183">
        <v>3036</v>
      </c>
      <c r="M12" s="183">
        <v>367</v>
      </c>
      <c r="N12" s="183">
        <v>346</v>
      </c>
      <c r="O12" s="181">
        <v>488</v>
      </c>
      <c r="P12" s="183">
        <v>219</v>
      </c>
      <c r="Q12" s="183">
        <v>174</v>
      </c>
      <c r="R12" s="183">
        <v>5088</v>
      </c>
      <c r="S12" s="183">
        <v>2823</v>
      </c>
      <c r="T12" s="183">
        <v>1545</v>
      </c>
      <c r="U12" s="183">
        <v>1463</v>
      </c>
      <c r="V12" s="183">
        <v>2948</v>
      </c>
      <c r="W12" s="183">
        <v>278</v>
      </c>
      <c r="X12" s="189">
        <v>413</v>
      </c>
      <c r="Y12" s="191">
        <v>52</v>
      </c>
      <c r="Z12" s="181">
        <v>26</v>
      </c>
      <c r="AA12" s="181">
        <v>23</v>
      </c>
      <c r="AB12" s="181">
        <v>55</v>
      </c>
      <c r="AC12" s="183">
        <v>0</v>
      </c>
      <c r="AD12" s="183">
        <v>0</v>
      </c>
      <c r="AE12" s="183">
        <v>0</v>
      </c>
      <c r="AF12" s="189">
        <v>0</v>
      </c>
      <c r="AG12" s="202">
        <v>30</v>
      </c>
      <c r="AH12" s="183">
        <v>23</v>
      </c>
      <c r="AI12" s="183">
        <v>35</v>
      </c>
      <c r="AJ12" s="203">
        <v>18</v>
      </c>
      <c r="AK12" s="182">
        <v>0</v>
      </c>
      <c r="AL12" s="183">
        <v>0</v>
      </c>
      <c r="AM12" s="183">
        <v>0</v>
      </c>
      <c r="AN12" s="189">
        <v>0</v>
      </c>
      <c r="AO12" s="259">
        <v>4</v>
      </c>
      <c r="AP12" s="155">
        <v>4</v>
      </c>
      <c r="AQ12" s="155">
        <v>4</v>
      </c>
      <c r="AR12" s="154">
        <v>4</v>
      </c>
      <c r="AS12" s="340" t="s">
        <v>802</v>
      </c>
      <c r="AT12" s="203"/>
      <c r="AU12" s="202"/>
      <c r="AV12" s="203"/>
      <c r="AW12" s="202"/>
      <c r="AX12" s="203"/>
      <c r="AY12" s="126">
        <f t="shared" si="1"/>
        <v>2853</v>
      </c>
      <c r="AZ12" s="127">
        <f t="shared" si="1"/>
        <v>1568</v>
      </c>
      <c r="BA12" s="127">
        <f t="shared" si="1"/>
        <v>1498</v>
      </c>
      <c r="BB12" s="127">
        <f t="shared" si="1"/>
        <v>2966</v>
      </c>
      <c r="BC12" s="125">
        <f>IF(ISNUMBER(X12),X12," - ")</f>
        <v>413</v>
      </c>
      <c r="BD12" s="126">
        <f t="shared" si="2"/>
        <v>0.9553571428571429</v>
      </c>
      <c r="BE12" s="127">
        <f t="shared" si="3"/>
        <v>1.9799732977303071</v>
      </c>
      <c r="BF12" s="127">
        <f t="shared" si="4"/>
        <v>0.27570093457943923</v>
      </c>
      <c r="BG12" s="196">
        <f t="shared" si="5"/>
        <v>2.951268357810414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3173</v>
      </c>
      <c r="J13" s="184">
        <f t="shared" si="6"/>
        <v>976</v>
      </c>
      <c r="K13" s="184">
        <f t="shared" si="6"/>
        <v>1096</v>
      </c>
      <c r="L13" s="184">
        <f t="shared" si="6"/>
        <v>3053</v>
      </c>
      <c r="M13" s="184">
        <f t="shared" si="6"/>
        <v>370</v>
      </c>
      <c r="N13" s="184">
        <f t="shared" si="6"/>
        <v>346</v>
      </c>
      <c r="O13" s="184">
        <f t="shared" si="6"/>
        <v>488</v>
      </c>
      <c r="P13" s="184">
        <f t="shared" si="6"/>
        <v>220</v>
      </c>
      <c r="Q13" s="184">
        <f t="shared" si="6"/>
        <v>176</v>
      </c>
      <c r="R13" s="184">
        <f t="shared" si="6"/>
        <v>5108</v>
      </c>
      <c r="S13" s="184">
        <f t="shared" si="6"/>
        <v>2832</v>
      </c>
      <c r="T13" s="184">
        <f t="shared" si="6"/>
        <v>1546</v>
      </c>
      <c r="U13" s="184">
        <f t="shared" si="6"/>
        <v>1463</v>
      </c>
      <c r="V13" s="184">
        <f t="shared" si="6"/>
        <v>2958</v>
      </c>
      <c r="W13" s="184">
        <f t="shared" si="6"/>
        <v>278</v>
      </c>
      <c r="X13" s="184">
        <f t="shared" si="6"/>
        <v>413</v>
      </c>
      <c r="Y13" s="184">
        <f t="shared" si="6"/>
        <v>52</v>
      </c>
      <c r="Z13" s="184">
        <f t="shared" si="6"/>
        <v>26</v>
      </c>
      <c r="AA13" s="184">
        <f t="shared" si="6"/>
        <v>23</v>
      </c>
      <c r="AB13" s="184">
        <f t="shared" si="6"/>
        <v>55</v>
      </c>
      <c r="AC13" s="184">
        <f t="shared" si="6"/>
        <v>0</v>
      </c>
      <c r="AD13" s="184">
        <f t="shared" si="6"/>
        <v>0</v>
      </c>
      <c r="AE13" s="184">
        <f t="shared" si="6"/>
        <v>0</v>
      </c>
      <c r="AF13" s="184">
        <f>SUBTOTAL(9,AF9:AF12)</f>
        <v>0</v>
      </c>
      <c r="AG13" s="184">
        <f t="shared" ref="AG13:AT13" si="7">SUBTOTAL(9,AG8:AG12)</f>
        <v>30</v>
      </c>
      <c r="AH13" s="184">
        <f t="shared" si="7"/>
        <v>23</v>
      </c>
      <c r="AI13" s="184">
        <f t="shared" si="7"/>
        <v>35</v>
      </c>
      <c r="AJ13" s="184">
        <f t="shared" si="7"/>
        <v>18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2862</v>
      </c>
      <c r="AZ13" s="184">
        <f>SUBTOTAL(9,AZ8:AZ12)</f>
        <v>1569</v>
      </c>
      <c r="BA13" s="184">
        <f>SUBTOTAL(9,BA8:BA12)</f>
        <v>1498</v>
      </c>
      <c r="BB13" s="184">
        <f>SUBTOTAL(9,BB8:BB12)</f>
        <v>2976</v>
      </c>
      <c r="BC13" s="184">
        <f>SUBTOTAL(9,BC8:BC12)</f>
        <v>413</v>
      </c>
      <c r="BD13" s="205">
        <f>IF(ISNUMBER(BA13/AZ13),BA13/AZ13," - ")</f>
        <v>0.95474824729126828</v>
      </c>
      <c r="BE13" s="206">
        <f>IF(ISNUMBER(BB13/BA13),BB13/BA13, " - ")</f>
        <v>1.9866488651535381</v>
      </c>
      <c r="BF13" s="206">
        <f>IF(ISNUMBER(BC13/BA13),BC13/BA13, " - ")</f>
        <v>0.27570093457943923</v>
      </c>
      <c r="BG13" s="207">
        <f>IF(ISNUMBER((AY13+AZ13)/BA13),(AY13+AZ13)/BA13," - ")</f>
        <v>2.957943925233645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1764</v>
      </c>
      <c r="J16" s="183">
        <v>1082</v>
      </c>
      <c r="K16" s="183">
        <v>1236</v>
      </c>
      <c r="L16" s="183">
        <v>1612</v>
      </c>
      <c r="M16" s="183">
        <v>151</v>
      </c>
      <c r="N16" s="183">
        <v>722</v>
      </c>
      <c r="O16" s="181">
        <v>10</v>
      </c>
      <c r="P16" s="183">
        <v>38</v>
      </c>
      <c r="Q16" s="183">
        <v>36</v>
      </c>
      <c r="R16" s="183">
        <v>111</v>
      </c>
      <c r="S16" s="183">
        <v>1292</v>
      </c>
      <c r="T16" s="183">
        <v>965</v>
      </c>
      <c r="U16" s="183">
        <v>839</v>
      </c>
      <c r="V16" s="183">
        <v>1423</v>
      </c>
      <c r="W16" s="183">
        <v>116</v>
      </c>
      <c r="X16" s="189">
        <v>591</v>
      </c>
      <c r="Y16" s="202">
        <v>0</v>
      </c>
      <c r="Z16" s="183">
        <v>0</v>
      </c>
      <c r="AA16" s="183">
        <v>0</v>
      </c>
      <c r="AB16" s="183">
        <v>0</v>
      </c>
      <c r="AC16" s="183">
        <v>0</v>
      </c>
      <c r="AD16" s="183">
        <v>1</v>
      </c>
      <c r="AE16" s="183">
        <v>1</v>
      </c>
      <c r="AF16" s="189">
        <v>0</v>
      </c>
      <c r="AG16" s="202">
        <v>0</v>
      </c>
      <c r="AH16" s="183">
        <v>0</v>
      </c>
      <c r="AI16" s="183">
        <v>0</v>
      </c>
      <c r="AJ16" s="203">
        <v>0</v>
      </c>
      <c r="AK16" s="182">
        <v>0</v>
      </c>
      <c r="AL16" s="183">
        <v>5</v>
      </c>
      <c r="AM16" s="183">
        <v>5</v>
      </c>
      <c r="AN16" s="189">
        <v>0</v>
      </c>
      <c r="AO16" s="259">
        <v>4</v>
      </c>
      <c r="AP16" s="155">
        <v>4</v>
      </c>
      <c r="AQ16" s="155">
        <v>4</v>
      </c>
      <c r="AR16" s="155">
        <v>4</v>
      </c>
      <c r="AS16" s="340" t="s">
        <v>487</v>
      </c>
      <c r="AT16" s="203"/>
      <c r="AU16" s="202"/>
      <c r="AV16" s="203"/>
      <c r="AW16" s="202"/>
      <c r="AX16" s="203"/>
      <c r="AY16" s="126">
        <f t="shared" si="9"/>
        <v>1292</v>
      </c>
      <c r="AZ16" s="127">
        <f t="shared" si="9"/>
        <v>965</v>
      </c>
      <c r="BA16" s="127">
        <f t="shared" si="9"/>
        <v>839</v>
      </c>
      <c r="BB16" s="127">
        <f t="shared" si="9"/>
        <v>1423</v>
      </c>
      <c r="BC16" s="125">
        <f>IF(ISNUMBER(W16),W16," - ")</f>
        <v>116</v>
      </c>
      <c r="BD16" s="126">
        <f t="shared" ref="BD16" si="11">IF(ISNUMBER(BA16/AZ16),BA16/AZ16," - ")</f>
        <v>0.86943005181347155</v>
      </c>
      <c r="BE16" s="127">
        <f t="shared" ref="BE16" si="12">IF(ISNUMBER(BB16/BA16),BB16/BA16, " - ")</f>
        <v>1.6960667461263408</v>
      </c>
      <c r="BF16" s="127">
        <f t="shared" ref="BF16" si="13">IF(ISNUMBER(BC16/BA16),BC16/BA16, " - ")</f>
        <v>0.13825983313468415</v>
      </c>
      <c r="BG16" s="196">
        <f t="shared" si="10"/>
        <v>2.6901072705601905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60</v>
      </c>
      <c r="J17" s="183">
        <v>80</v>
      </c>
      <c r="K17" s="183">
        <v>82</v>
      </c>
      <c r="L17" s="183">
        <v>58</v>
      </c>
      <c r="M17" s="183">
        <v>3</v>
      </c>
      <c r="N17" s="183">
        <v>77</v>
      </c>
      <c r="O17" s="183">
        <v>0</v>
      </c>
      <c r="P17" s="183">
        <v>0</v>
      </c>
      <c r="Q17" s="183">
        <v>0</v>
      </c>
      <c r="R17" s="183">
        <v>0</v>
      </c>
      <c r="S17" s="183">
        <v>31</v>
      </c>
      <c r="T17" s="183">
        <v>59</v>
      </c>
      <c r="U17" s="183">
        <v>57</v>
      </c>
      <c r="V17" s="183">
        <v>33</v>
      </c>
      <c r="W17" s="183">
        <v>3</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59</v>
      </c>
      <c r="BA17" s="129">
        <f t="shared" si="14"/>
        <v>57</v>
      </c>
      <c r="BB17" s="129">
        <f t="shared" si="14"/>
        <v>33</v>
      </c>
      <c r="BC17" s="125">
        <f>IF(ISNUMBER(W17),W17," - ")</f>
        <v>3</v>
      </c>
      <c r="BD17" s="126">
        <f>IF(ISNUMBER(BA17/AZ17),BA17/AZ17," - ")</f>
        <v>0.96610169491525422</v>
      </c>
      <c r="BE17" s="127">
        <f>IF(ISNUMBER(BB17/BA17),BB17/BA17, " - ")</f>
        <v>0.57894736842105265</v>
      </c>
      <c r="BF17" s="127">
        <f>IF(ISNUMBER(BC17/BA17),BC17/BA17, " - ")</f>
        <v>5.2631578947368418E-2</v>
      </c>
      <c r="BG17" s="196">
        <f>IF(ISNUMBER((AY17+AZ17)/BA17),(AY17+AZ17)/BA17," - ")</f>
        <v>1.5789473684210527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1824</v>
      </c>
      <c r="J18" s="184">
        <f t="shared" si="15"/>
        <v>1162</v>
      </c>
      <c r="K18" s="184">
        <f t="shared" si="15"/>
        <v>1318</v>
      </c>
      <c r="L18" s="184">
        <f t="shared" si="15"/>
        <v>1670</v>
      </c>
      <c r="M18" s="184">
        <f t="shared" si="15"/>
        <v>154</v>
      </c>
      <c r="N18" s="184">
        <f t="shared" si="15"/>
        <v>799</v>
      </c>
      <c r="O18" s="184">
        <f t="shared" si="15"/>
        <v>10</v>
      </c>
      <c r="P18" s="184">
        <f t="shared" si="15"/>
        <v>38</v>
      </c>
      <c r="Q18" s="184">
        <f t="shared" si="15"/>
        <v>36</v>
      </c>
      <c r="R18" s="184">
        <f t="shared" si="15"/>
        <v>111</v>
      </c>
      <c r="S18" s="184">
        <f t="shared" si="15"/>
        <v>1323</v>
      </c>
      <c r="T18" s="184">
        <f t="shared" si="15"/>
        <v>1024</v>
      </c>
      <c r="U18" s="184">
        <f t="shared" si="15"/>
        <v>896</v>
      </c>
      <c r="V18" s="184">
        <f t="shared" si="15"/>
        <v>1456</v>
      </c>
      <c r="W18" s="184">
        <f t="shared" si="15"/>
        <v>119</v>
      </c>
      <c r="X18" s="184">
        <f t="shared" si="15"/>
        <v>651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1323</v>
      </c>
      <c r="AZ18" s="184">
        <f>SUBTOTAL(9,AZ14:AZ17)</f>
        <v>1024</v>
      </c>
      <c r="BA18" s="184">
        <f>SUBTOTAL(9,BA14:BA17)</f>
        <v>896</v>
      </c>
      <c r="BB18" s="184">
        <f>SUBTOTAL(9,BB14:BB17)</f>
        <v>1456</v>
      </c>
      <c r="BC18" s="184">
        <f>SUBTOTAL(9,BC14:BC17)</f>
        <v>119</v>
      </c>
      <c r="BD18" s="205">
        <f>IF(ISNUMBER(BA18/AZ18),BA18/AZ18," - ")</f>
        <v>0.875</v>
      </c>
      <c r="BE18" s="206">
        <f>IF(ISNUMBER(BB18/BA18),BB18/BA18, " - ")</f>
        <v>1.625</v>
      </c>
      <c r="BF18" s="206">
        <f>IF(ISNUMBER(BC18/BA18),BC18/BA18, " - ")</f>
        <v>0.1328125</v>
      </c>
      <c r="BG18" s="207">
        <f>IF(ISNUMBER((AY18+AZ18)/BA18),(AY18+AZ18)/BA18," - ")</f>
        <v>2.6194196428571428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4997</v>
      </c>
      <c r="J19" s="134">
        <f t="shared" si="18"/>
        <v>2138</v>
      </c>
      <c r="K19" s="134">
        <f t="shared" si="18"/>
        <v>2414</v>
      </c>
      <c r="L19" s="134">
        <f t="shared" si="18"/>
        <v>4723</v>
      </c>
      <c r="M19" s="134">
        <f t="shared" si="18"/>
        <v>524</v>
      </c>
      <c r="N19" s="134">
        <f t="shared" si="18"/>
        <v>1145</v>
      </c>
      <c r="O19" s="134">
        <f t="shared" si="18"/>
        <v>498</v>
      </c>
      <c r="P19" s="134">
        <f t="shared" si="18"/>
        <v>258</v>
      </c>
      <c r="Q19" s="134">
        <f t="shared" si="18"/>
        <v>212</v>
      </c>
      <c r="R19" s="134">
        <f t="shared" si="18"/>
        <v>5219</v>
      </c>
      <c r="S19" s="134">
        <f t="shared" si="18"/>
        <v>4155</v>
      </c>
      <c r="T19" s="134">
        <f t="shared" si="18"/>
        <v>2570</v>
      </c>
      <c r="U19" s="134">
        <f t="shared" si="18"/>
        <v>2359</v>
      </c>
      <c r="V19" s="134">
        <f t="shared" si="18"/>
        <v>4414</v>
      </c>
      <c r="W19" s="134">
        <f t="shared" si="18"/>
        <v>397</v>
      </c>
      <c r="X19" s="134">
        <f t="shared" si="18"/>
        <v>1064</v>
      </c>
      <c r="Y19" s="134">
        <f t="shared" si="18"/>
        <v>52</v>
      </c>
      <c r="Z19" s="134">
        <f t="shared" si="18"/>
        <v>26</v>
      </c>
      <c r="AA19" s="134">
        <f t="shared" si="18"/>
        <v>23</v>
      </c>
      <c r="AB19" s="134">
        <f t="shared" si="18"/>
        <v>55</v>
      </c>
      <c r="AC19" s="134">
        <f t="shared" si="18"/>
        <v>0</v>
      </c>
      <c r="AD19" s="134">
        <f t="shared" si="18"/>
        <v>1</v>
      </c>
      <c r="AE19" s="134">
        <f t="shared" si="18"/>
        <v>1</v>
      </c>
      <c r="AF19" s="134">
        <f t="shared" si="18"/>
        <v>0</v>
      </c>
      <c r="AG19" s="134">
        <f t="shared" si="18"/>
        <v>30</v>
      </c>
      <c r="AH19" s="134">
        <f t="shared" si="18"/>
        <v>23</v>
      </c>
      <c r="AI19" s="134">
        <f t="shared" si="18"/>
        <v>35</v>
      </c>
      <c r="AJ19" s="134">
        <f t="shared" si="18"/>
        <v>18</v>
      </c>
      <c r="AK19" s="134">
        <f t="shared" si="18"/>
        <v>0</v>
      </c>
      <c r="AL19" s="134">
        <f t="shared" si="18"/>
        <v>5</v>
      </c>
      <c r="AM19" s="134">
        <f t="shared" si="18"/>
        <v>5</v>
      </c>
      <c r="AN19" s="210">
        <f t="shared" si="18"/>
        <v>0</v>
      </c>
      <c r="AO19" s="211">
        <v>5</v>
      </c>
      <c r="AP19" s="211">
        <v>4</v>
      </c>
      <c r="AQ19" s="211">
        <v>4</v>
      </c>
      <c r="AR19" s="211">
        <v>4</v>
      </c>
      <c r="AS19" s="153">
        <f t="shared" si="18"/>
        <v>0</v>
      </c>
      <c r="AT19" s="153">
        <f t="shared" si="18"/>
        <v>0</v>
      </c>
      <c r="AU19" s="211"/>
      <c r="AV19" s="212"/>
      <c r="AW19" s="211"/>
      <c r="AX19" s="212"/>
      <c r="AY19" s="133">
        <f>SUBTOTAL(9,AY9:AY18)</f>
        <v>4185</v>
      </c>
      <c r="AZ19" s="134">
        <f>SUBTOTAL(9,AZ9:AZ18)</f>
        <v>2593</v>
      </c>
      <c r="BA19" s="134">
        <f>SUBTOTAL(9,BA9:BA18)</f>
        <v>2394</v>
      </c>
      <c r="BB19" s="134">
        <f>SUBTOTAL(9,BB9:BB18)</f>
        <v>4432</v>
      </c>
      <c r="BC19" s="135">
        <f>SUBTOTAL(9,BC9:BC18)</f>
        <v>532</v>
      </c>
      <c r="BD19" s="213">
        <f>IF(ISNUMBER(BA19/AZ19),BA19/AZ19," - ")</f>
        <v>0.92325491708445817</v>
      </c>
      <c r="BE19" s="210">
        <f>IF(ISNUMBER(BB19/BA19),BB19/BA19, " - ")</f>
        <v>1.8512949039264828</v>
      </c>
      <c r="BF19" s="210">
        <f>IF(ISNUMBER(BC19/BA19),BC19/BA19, " - ")</f>
        <v>0.22222222222222221</v>
      </c>
      <c r="BG19" s="135">
        <f>IF(ISNUMBER((AY19+AZ19)/BA19),(AY19+AZ19)/BA19," - ")</f>
        <v>2.8312447786131996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p07/a/JNAk+pvcBtbq8LgmJYqAv70XBW4p+t86t3HNTl6y8ISoW5+tA3uUipOmCjxyoiKQmXOjLf9onlDqNow==" saltValue="3nTHZuC2lo2a21ZnxAfD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3bhyc5AgnQm9AkJcA/rhTi0rq16ymZoZbdQ6yMeRynJRPPPxvyM6/++1XHdZl4b6qhkZD2oGXnOSx89I2+ilg==" saltValue="YHSvFTZXU7Gj89dKTn1h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2</v>
      </c>
      <c r="AD10" s="334"/>
      <c r="AE10" s="484"/>
      <c r="AF10" s="332">
        <f>IF(ISNUMBER(Datos!L10),Datos!L10,"-")</f>
        <v>17</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10.199999999999999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219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5088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367</v>
      </c>
      <c r="BD12" s="229">
        <f>IF(ISNUMBER(Datos!N12),Datos!N12," - ")</f>
        <v>346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1.1173520561685055</v>
      </c>
      <c r="BH12" s="260">
        <f>IF(ISNUMBER(((IF(J_V="SI",Datos!L12/Datos!K12,(Datos!L12+Datos!AB12)/(Datos!K12+Datos!AA12)))*11)/factor_trimestre),((IF(J_V="SI",Datos!L12/Datos!K12,(Datos!L12+Datos!AB12)/(Datos!K12+Datos!AA12)))*11)/factor_trimestre," - ")</f>
        <v>8.3240574506283664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8.92325996430696E-3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220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176</v>
      </c>
      <c r="AD13" s="899">
        <f t="shared" si="1"/>
        <v>0</v>
      </c>
      <c r="AE13" s="899">
        <f t="shared" si="1"/>
        <v>0</v>
      </c>
      <c r="AF13" s="899">
        <f t="shared" si="1"/>
        <v>17</v>
      </c>
      <c r="AG13" s="899">
        <f t="shared" si="1"/>
        <v>0</v>
      </c>
      <c r="AH13" s="899">
        <f t="shared" si="1"/>
        <v>55</v>
      </c>
      <c r="AI13" s="899">
        <f t="shared" si="1"/>
        <v>0</v>
      </c>
      <c r="AJ13" s="899">
        <f t="shared" si="1"/>
        <v>0</v>
      </c>
      <c r="AK13" s="899">
        <f t="shared" si="1"/>
        <v>0</v>
      </c>
      <c r="AL13" s="899">
        <f t="shared" si="1"/>
        <v>0</v>
      </c>
      <c r="AM13" s="899">
        <f t="shared" si="1"/>
        <v>5108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370</v>
      </c>
      <c r="BD13" s="899">
        <f t="shared" si="1"/>
        <v>346</v>
      </c>
      <c r="BE13" s="899">
        <f t="shared" si="1"/>
        <v>0</v>
      </c>
      <c r="BF13" s="899">
        <f t="shared" si="1"/>
        <v>0</v>
      </c>
      <c r="BG13" s="899">
        <f>IF(ISNUMBER(Datos!K13/Datos!J13),Datos!K13/Datos!J13," - ")</f>
        <v>1.1229508196721312</v>
      </c>
      <c r="BH13" s="903">
        <f>IF(ISNUMBER(((Datos!L13/Datos!K13)*11)/factor_trimestre),((Datos!L13/Datos!K13)*11)/factor_trimestre," - ")</f>
        <v>8.3567518248175183</v>
      </c>
      <c r="BI13" s="899">
        <f>IF(ISNUMBER('Resol  Asuntos'!D13/NºAsuntos!G13),'Resol  Asuntos'!D13/NºAsuntos!G13," - ")</f>
        <v>0.33065236818588023</v>
      </c>
      <c r="BJ13" s="899" t="str">
        <f>IF(ISNUMBER(Datos!CI13/Datos!CJ13),Datos!CI13/Datos!CJ13," - ")</f>
        <v xml:space="preserve"> - </v>
      </c>
      <c r="BK13" s="899">
        <f>SUBTOTAL(9,BK8:BK12)</f>
        <v>0</v>
      </c>
      <c r="BL13" s="899">
        <f>IF(ISNUMBER((I13-AB13+L13)/(F13)),(I13-AB13+L13)/(F13)," - ")</f>
        <v>-0.29411764705882354</v>
      </c>
      <c r="BM13" s="904">
        <f>SUBTOTAL(9,BM9:BM12)</f>
        <v>-3.869578765474066E-2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1766</v>
      </c>
      <c r="G16" s="598">
        <f>IF(ISNUMBER(IF(D_I="SI",Datos!I16,Datos!I16+Datos!AC16)),IF(D_I="SI",Datos!I16,Datos!I16+Datos!AC16)," - ")</f>
        <v>1764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1236</v>
      </c>
      <c r="AC16" s="226">
        <f>IF(ISNUMBER(Datos!Q16),Datos!Q16," - ")</f>
        <v>36</v>
      </c>
      <c r="AD16" s="334"/>
      <c r="AE16" s="484"/>
      <c r="AF16" s="596">
        <f>IF(ISNUMBER(IF(D_I="SI",Datos!L16,Datos!L16+Datos!AF16)),IF(D_I="SI",Datos!L16,Datos!L16+Datos!AF16)," - ")</f>
        <v>1612</v>
      </c>
      <c r="AG16" s="334"/>
      <c r="AH16" s="334"/>
      <c r="AI16" s="334"/>
      <c r="AJ16" s="334"/>
      <c r="AK16" s="334"/>
      <c r="AL16" s="479"/>
      <c r="AM16" s="335">
        <f>IF(ISNUMBER(Datos!R16),Datos!R16," - ")</f>
        <v>111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151</v>
      </c>
      <c r="BD16" s="229">
        <f>IF(ISNUMBER(Datos!N16),Datos!N16," - ")</f>
        <v>722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1.1423290203327172</v>
      </c>
      <c r="BH16" s="260">
        <f>IF(ISNUMBER(((IF(D_I="SI",Datos!L16/Datos!K16,(Datos!L16+Datos!AF16)/(Datos!K16+Datos!AE16)))*11)/factor_trimestre),((IF(D_I="SI",Datos!L16/Datos!K16,(Datos!L16+Datos!AF16)/(Datos!K16+Datos!AE16)))*11)/factor_trimestre," - ")</f>
        <v>3.912621359223301</v>
      </c>
      <c r="BI16" s="243">
        <f>IF(ISNUMBER('Resol  Asuntos'!D16/NºAsuntos!G16),'Resol  Asuntos'!D16/NºAsuntos!G16," - ")</f>
        <v>0.12216828478964402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v>
      </c>
      <c r="AC17" s="226">
        <f>IF(ISNUMBER(Datos!Q17),Datos!Q17," - ")</f>
        <v>0</v>
      </c>
      <c r="AD17" s="334"/>
      <c r="AE17" s="484"/>
      <c r="AF17" s="332">
        <f>IF(ISNUMBER(Datos!L17),Datos!L17,"-")</f>
        <v>58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1.0249999999999999</v>
      </c>
      <c r="BH17" s="260">
        <f>IF(ISNUMBER(((IF(D_I="SI",Datos!L17/Datos!K17,(Datos!L17+Datos!AF17)/(Datos!K17+Datos!AE17)))*11)/factor_trimestre),((IF(D_I="SI",Datos!L17/Datos!K17,(Datos!L17+Datos!AF17)/(Datos!K17+Datos!AE17)))*11)/factor_trimestre," - ")</f>
        <v>2.1219512195121952</v>
      </c>
      <c r="BI17" s="243">
        <f>IF(ISNUMBER('Resol  Asuntos'!D17/NºAsuntos!G17),'Resol  Asuntos'!D17/NºAsuntos!G17," - ")</f>
        <v>3.6585365853658534E-2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1766</v>
      </c>
      <c r="G18" s="898">
        <f>SUBTOTAL(9,G15:G17)</f>
        <v>1824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1318</v>
      </c>
      <c r="AC18" s="899">
        <f t="shared" si="4"/>
        <v>36</v>
      </c>
      <c r="AD18" s="899">
        <f t="shared" si="4"/>
        <v>0</v>
      </c>
      <c r="AE18" s="899">
        <f t="shared" si="4"/>
        <v>0</v>
      </c>
      <c r="AF18" s="899">
        <f t="shared" si="4"/>
        <v>1670</v>
      </c>
      <c r="AG18" s="899">
        <f t="shared" si="4"/>
        <v>0</v>
      </c>
      <c r="AH18" s="899">
        <f t="shared" si="4"/>
        <v>0</v>
      </c>
      <c r="AI18" s="899">
        <f t="shared" si="4"/>
        <v>0</v>
      </c>
      <c r="AJ18" s="899">
        <f t="shared" si="4"/>
        <v>0</v>
      </c>
      <c r="AK18" s="899">
        <f t="shared" si="4"/>
        <v>0</v>
      </c>
      <c r="AL18" s="899">
        <f t="shared" si="4"/>
        <v>0</v>
      </c>
      <c r="AM18" s="899">
        <f t="shared" si="4"/>
        <v>111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154</v>
      </c>
      <c r="BD18" s="899">
        <f t="shared" si="4"/>
        <v>799</v>
      </c>
      <c r="BE18" s="899">
        <f t="shared" si="4"/>
        <v>0</v>
      </c>
      <c r="BF18" s="899">
        <f t="shared" si="4"/>
        <v>0</v>
      </c>
      <c r="BG18" s="899">
        <f>IF(ISNUMBER(Datos!K18/Datos!J18),Datos!K18/Datos!J18," - ")</f>
        <v>1.1342512908777969</v>
      </c>
      <c r="BH18" s="903">
        <f>IF(ISNUMBER(((Datos!L18/Datos!K18)*11)/factor_trimestre),((Datos!L18/Datos!K18)*11)/factor_trimestre," - ")</f>
        <v>3.8012139605462818</v>
      </c>
      <c r="BI18" s="899">
        <f>SUBTOTAL(9,BI15:BI17)</f>
        <v>0.15875365064330255</v>
      </c>
      <c r="BJ18" s="899">
        <f>SUBTOTAL(9,BJ15:BJ17)</f>
        <v>0</v>
      </c>
      <c r="BK18" s="899">
        <f>SUBTOTAL(9,BK15:BK17)</f>
        <v>0</v>
      </c>
      <c r="BL18" s="899">
        <f>IF(ISNUMBER((I18-AB18+L18)/(F18)),(I18-AB18+L18)/(F18)," - ")</f>
        <v>-0.74631936579841451</v>
      </c>
      <c r="BM18" s="905">
        <f>IF(ISNUMBER((Datos!P18-Datos!Q18)/(Datos!R18-Datos!P18+Datos!Q18)),(Datos!P18-Datos!Q18)/(Datos!R18-Datos!P18+Datos!Q18)," - ")</f>
        <v>1.834862385321101E-2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1783</v>
      </c>
      <c r="G19" s="820">
        <f t="shared" si="6"/>
        <v>1841</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1323</v>
      </c>
      <c r="AC19" s="821">
        <f t="shared" si="7"/>
        <v>212</v>
      </c>
      <c r="AD19" s="821">
        <f t="shared" si="7"/>
        <v>0</v>
      </c>
      <c r="AE19" s="821">
        <f t="shared" si="7"/>
        <v>0</v>
      </c>
      <c r="AF19" s="828">
        <f t="shared" si="7"/>
        <v>1687</v>
      </c>
      <c r="AG19" s="828">
        <f t="shared" si="7"/>
        <v>0</v>
      </c>
      <c r="AH19" s="828">
        <f t="shared" si="7"/>
        <v>55</v>
      </c>
      <c r="AI19" s="828">
        <f t="shared" si="7"/>
        <v>0</v>
      </c>
      <c r="AJ19" s="821">
        <f t="shared" si="7"/>
        <v>0</v>
      </c>
      <c r="AK19" s="828">
        <f t="shared" si="7"/>
        <v>0</v>
      </c>
      <c r="AL19" s="828">
        <f t="shared" si="7"/>
        <v>0</v>
      </c>
      <c r="AM19" s="828">
        <f t="shared" si="7"/>
        <v>5219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524</v>
      </c>
      <c r="BD19" s="820">
        <f t="shared" si="7"/>
        <v>1145</v>
      </c>
      <c r="BE19" s="820">
        <f t="shared" si="7"/>
        <v>0</v>
      </c>
      <c r="BF19" s="830">
        <f t="shared" si="7"/>
        <v>0</v>
      </c>
      <c r="BG19" s="915">
        <f>IF(ISNUMBER(Datos!K19/Datos!J19),Datos!K19/Datos!J19," - ")</f>
        <v>1.1290926099158092</v>
      </c>
      <c r="BH19" s="915">
        <f>IF(ISNUMBER(((Datos!L19/Datos!K19)*11)/factor_trimestre),((Datos!L19/Datos!K19)*11)/factor_trimestre," - ")</f>
        <v>5.8695111847555923</v>
      </c>
      <c r="BI19" s="813">
        <f>IF(ISNUMBER(Datos!J19/Datos!I19),Datos!J19/Datos!I19," - ")</f>
        <v>0.42785671402841707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-0.74200785193494112</v>
      </c>
      <c r="BM19" s="889">
        <f>IF(ISNUMBER((Datos!P19-Datos!Q19+R19)/(Datos!R19-Datos!P19+Datos!Q19-R19)),(Datos!P19-Datos!Q19+R19)/(Datos!R19-Datos!P19+Datos!Q19-R19)," - ")</f>
        <v>8.8923255364392034E-3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1009.7856208126555</v>
      </c>
      <c r="G21" s="552">
        <f>IF(ISNUMBER(STDEV(G8:G18)),STDEV(G8:G18),"-")</f>
        <v>965.8448633191565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683.98296762419454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164.36139043786002</v>
      </c>
      <c r="BD21" s="551"/>
      <c r="BE21" s="551">
        <f>IF(ISNUMBER(STDEV(BE8:BE18)),STDEV(BE8:BE18),"-")</f>
        <v>0</v>
      </c>
      <c r="BF21" s="556">
        <f>IF(ISNUMBER(STDEV(BF8:BF18)),STDEV(BF8:BF18),"-")</f>
        <v>0</v>
      </c>
      <c r="BG21" s="775">
        <f>IF(ISNUMBER(STDEV(BG8:BG18)),STDEV(BG8:BG18),"-")</f>
        <v>6.140814854962727E-2</v>
      </c>
      <c r="BH21" s="776">
        <f>IF(ISNUMBER(STDEV(BH8:BH18)),STDEV(BH8:BH18),"-")</f>
        <v>3.247799539742704</v>
      </c>
      <c r="BI21" s="249">
        <f>IF(ISNUMBER(STDEV(BI8:BI18)),STDEV(BI8:BI18),"-")</f>
        <v>0.1235172723413287</v>
      </c>
      <c r="BJ21" s="230" t="str">
        <f>IF(ISNUMBER(BL21/BM21),BL21/BM21," - ")</f>
        <v xml:space="preserve"> - </v>
      </c>
      <c r="BK21" s="575"/>
      <c r="BL21" s="559">
        <f>IF(ISNUMBER(STDEV(BL8:BL18)),STDEV(BL8:BL18),"-")</f>
        <v>0.31975490178497673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Nj65ukB5qFbINTH79kC2Xfj9JYYrLJwJRHkdQwA9e14W2VtZ6npVA8iUVlNARWUojuF+FHW8yYTX+VwQal20A==" saltValue="HZsg/RI34ulGqYUD+9xJ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LA BISBAL D'EMPORDA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2</v>
      </c>
      <c r="AA10" s="332">
        <f>IF(ISNUMBER(Datos!L10),Datos!L10,"-")</f>
        <v>17</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174</v>
      </c>
      <c r="AA12" s="332" t="str">
        <f>IF(ISNUMBER(IF(J_V="SI",Datos!L12,Datos!L12+Datos!AB12)-IF(Monitorios="SI",Datos!CD12,0)),
                          IF(J_V="SI",Datos!L12,Datos!L12+Datos!AB12)-IF(Monitorios="SI",Datos!CD12,0),
                          " - ")</f>
        <v xml:space="preserve"> - </v>
      </c>
      <c r="AB12" s="334"/>
      <c r="AC12" s="334"/>
      <c r="AD12" s="484"/>
      <c r="AE12" s="484">
        <f>IF(ISNUMBER(Datos!R12),Datos!R12," - ")</f>
        <v>5088</v>
      </c>
      <c r="AF12" s="229" t="str">
        <f>IF(ISNUMBER(Datos!BV12),Datos!BV12," - ")</f>
        <v xml:space="preserve"> - </v>
      </c>
      <c r="AG12" s="225" t="str">
        <f>IF(ISNUMBER(Datos!DV12),Datos!DV12," - ")</f>
        <v xml:space="preserve"> - </v>
      </c>
      <c r="AH12" s="298"/>
      <c r="AI12" s="227"/>
      <c r="AJ12" s="225">
        <f>IF(ISNUMBER(Datos!M12),Datos!M12," - ")</f>
        <v>367</v>
      </c>
      <c r="AK12" s="229">
        <f>IF(ISNUMBER(Datos!N12),Datos!N12," - ")</f>
        <v>346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8.3240574506283664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8.92325996430696E-3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220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176</v>
      </c>
      <c r="AA13" s="900">
        <f t="shared" si="2"/>
        <v>17</v>
      </c>
      <c r="AB13" s="900">
        <f t="shared" si="2"/>
        <v>0</v>
      </c>
      <c r="AC13" s="900">
        <f t="shared" si="2"/>
        <v>0</v>
      </c>
      <c r="AD13" s="900">
        <f t="shared" si="2"/>
        <v>0</v>
      </c>
      <c r="AE13" s="900">
        <f t="shared" si="2"/>
        <v>5108</v>
      </c>
      <c r="AF13" s="908">
        <f t="shared" si="2"/>
        <v>0</v>
      </c>
      <c r="AG13" s="908">
        <f t="shared" si="2"/>
        <v>0</v>
      </c>
      <c r="AH13" s="908">
        <f t="shared" si="2"/>
        <v>0</v>
      </c>
      <c r="AI13" s="908">
        <f t="shared" si="2"/>
        <v>0</v>
      </c>
      <c r="AJ13" s="908">
        <f t="shared" si="2"/>
        <v>370</v>
      </c>
      <c r="AK13" s="908">
        <f t="shared" si="2"/>
        <v>346</v>
      </c>
      <c r="AL13" s="908">
        <f t="shared" si="2"/>
        <v>0</v>
      </c>
      <c r="AM13" s="908">
        <f t="shared" si="2"/>
        <v>0</v>
      </c>
      <c r="AN13" s="908">
        <f t="shared" si="2"/>
        <v>0</v>
      </c>
      <c r="AO13" s="904">
        <f>IF(ISNUMBER(((NºAsuntos!I13/NºAsuntos!G13)*11)/factor_trimestre),((NºAsuntos!I13/NºAsuntos!G13)*11)/factor_trimestre," - ")</f>
        <v>8.3324396782841834</v>
      </c>
      <c r="AP13" s="910" t="str">
        <f>IF(ISNUMBER(Datos!CI13/Datos!CJ13),Datos!CI13/Datos!CJ13," - ")</f>
        <v xml:space="preserve"> - </v>
      </c>
      <c r="AQ13" s="928">
        <f t="shared" ref="AQ13:AV13" si="3">SUBTOTAL(9,AQ9:AQ12)</f>
        <v>0</v>
      </c>
      <c r="AR13" s="928">
        <f t="shared" si="3"/>
        <v>-3.869578765474066E-2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1766</v>
      </c>
      <c r="G16" s="225">
        <f>IF(ISNUMBER(IF(D_I="SI",Datos!I16,Datos!I16+Datos!AC16)),IF(D_I="SI",Datos!I16,Datos!I16+Datos!AC16)," - ")</f>
        <v>1764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1236</v>
      </c>
      <c r="Z16" s="619">
        <f>IF(ISNUMBER(Datos!Q16),Datos!Q16," - ")</f>
        <v>36</v>
      </c>
      <c r="AA16" s="332">
        <f>IF(ISNUMBER(IF(D_I="SI",Datos!L16,Datos!L16+Datos!AF16)),IF(D_I="SI",Datos!L16,Datos!L16+Datos!AF16)," - ")</f>
        <v>1612</v>
      </c>
      <c r="AB16" s="334"/>
      <c r="AC16" s="334"/>
      <c r="AD16" s="484"/>
      <c r="AE16" s="484">
        <f>IF(ISNUMBER(Datos!R16),Datos!R16," - ")</f>
        <v>111</v>
      </c>
      <c r="AF16" s="229" t="str">
        <f>IF(ISNUMBER(Datos!BV16),Datos!BV16," - ")</f>
        <v xml:space="preserve"> - </v>
      </c>
      <c r="AG16" s="225"/>
      <c r="AH16" s="298"/>
      <c r="AI16" s="227"/>
      <c r="AJ16" s="225">
        <f>IF(ISNUMBER(Datos!M16),Datos!M16," - ")</f>
        <v>151</v>
      </c>
      <c r="AK16" s="229">
        <f>IF(ISNUMBER(Datos!N16),Datos!N16," - ")</f>
        <v>722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3.912621359223301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v>
      </c>
      <c r="Z17" s="619">
        <f>IF(ISNUMBER(Datos!Q17),Datos!Q17," - ")</f>
        <v>0</v>
      </c>
      <c r="AA17" s="332">
        <f>IF(ISNUMBER(Datos!L17),Datos!L17,"-")</f>
        <v>58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2.1219512195121952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1766</v>
      </c>
      <c r="G18" s="898">
        <f>SUBTOTAL(9,G15:G17)</f>
        <v>1824</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1318</v>
      </c>
      <c r="Z18" s="932">
        <f t="shared" si="5"/>
        <v>36</v>
      </c>
      <c r="AA18" s="932">
        <f t="shared" si="5"/>
        <v>1670</v>
      </c>
      <c r="AB18" s="932">
        <f t="shared" si="5"/>
        <v>0</v>
      </c>
      <c r="AC18" s="932">
        <f t="shared" si="5"/>
        <v>0</v>
      </c>
      <c r="AD18" s="932">
        <f t="shared" si="5"/>
        <v>0</v>
      </c>
      <c r="AE18" s="932">
        <f t="shared" si="5"/>
        <v>111</v>
      </c>
      <c r="AF18" s="932">
        <f t="shared" si="5"/>
        <v>0</v>
      </c>
      <c r="AG18" s="932">
        <f t="shared" si="5"/>
        <v>0</v>
      </c>
      <c r="AH18" s="932">
        <f t="shared" si="5"/>
        <v>0</v>
      </c>
      <c r="AI18" s="932">
        <f t="shared" si="5"/>
        <v>0</v>
      </c>
      <c r="AJ18" s="932">
        <f t="shared" si="5"/>
        <v>154</v>
      </c>
      <c r="AK18" s="932">
        <f t="shared" si="5"/>
        <v>799</v>
      </c>
      <c r="AL18" s="932">
        <f t="shared" si="5"/>
        <v>0</v>
      </c>
      <c r="AM18" s="932">
        <f t="shared" si="5"/>
        <v>0</v>
      </c>
      <c r="AN18" s="932">
        <f t="shared" si="5"/>
        <v>0</v>
      </c>
      <c r="AO18" s="934">
        <f>IF(ISNUMBER(((NºAsuntos!I18/NºAsuntos!G18)*11)/factor_trimestre),((NºAsuntos!I18/NºAsuntos!G18)*11)/factor_trimestre," - ")</f>
        <v>3.8012139605462818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1783</v>
      </c>
      <c r="G19" s="820">
        <f t="shared" si="7"/>
        <v>1841</v>
      </c>
      <c r="H19" s="821">
        <f t="shared" si="7"/>
        <v>0</v>
      </c>
      <c r="I19" s="820">
        <f t="shared" si="7"/>
        <v>0</v>
      </c>
      <c r="J19" s="822">
        <f t="shared" si="7"/>
        <v>0</v>
      </c>
      <c r="K19" s="820">
        <f t="shared" si="7"/>
        <v>0</v>
      </c>
      <c r="L19" s="823">
        <f t="shared" si="7"/>
        <v>0</v>
      </c>
      <c r="M19" s="820">
        <f t="shared" si="7"/>
        <v>0</v>
      </c>
      <c r="N19" s="821">
        <f t="shared" si="7"/>
        <v>258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1323</v>
      </c>
      <c r="Z19" s="827">
        <f t="shared" si="8"/>
        <v>212</v>
      </c>
      <c r="AA19" s="828">
        <f t="shared" si="8"/>
        <v>1687</v>
      </c>
      <c r="AB19" s="828">
        <f t="shared" si="8"/>
        <v>0</v>
      </c>
      <c r="AC19" s="828">
        <f t="shared" si="8"/>
        <v>0</v>
      </c>
      <c r="AD19" s="829">
        <f t="shared" si="8"/>
        <v>0</v>
      </c>
      <c r="AE19" s="829">
        <f t="shared" si="8"/>
        <v>5219</v>
      </c>
      <c r="AF19" s="830">
        <f t="shared" si="8"/>
        <v>0</v>
      </c>
      <c r="AG19" s="831">
        <f t="shared" si="8"/>
        <v>0</v>
      </c>
      <c r="AH19" s="832">
        <f t="shared" si="8"/>
        <v>0</v>
      </c>
      <c r="AI19" s="830">
        <f t="shared" si="8"/>
        <v>0</v>
      </c>
      <c r="AJ19" s="820">
        <f t="shared" si="8"/>
        <v>524</v>
      </c>
      <c r="AK19" s="820">
        <f t="shared" si="8"/>
        <v>1145</v>
      </c>
      <c r="AL19" s="820">
        <f t="shared" si="8"/>
        <v>0</v>
      </c>
      <c r="AM19" s="833">
        <f t="shared" si="8"/>
        <v>0</v>
      </c>
      <c r="AN19" s="823">
        <f>IF(ISNUMBER(Datos!K19/Datos!J19),Datos!K19/Datos!J19," - ")</f>
        <v>1.1290926099158092</v>
      </c>
      <c r="AO19" s="823">
        <f>IF(ISNUMBER(FIND("06",Criterios!A8,1)),(IF(ISNUMBER(((Datos!R19/Datos!Q19)*11)/factor_trimestre),((Datos!R19/Datos!Q19)*11)/factor_trimestre," - ")),(IF(ISNUMBER(((Datos!L19/Datos!K19)*11)/factor_trimestre),((Datos!L19/Datos!K19)*11)/factor_trimestre," - ")))</f>
        <v>5.8695111847555923</v>
      </c>
      <c r="AP19" s="834" t="str">
        <f>IF(ISNUMBER(Datos!CI19/Datos!CJ19),Datos!CI19/Datos!CJ19," - ")</f>
        <v xml:space="preserve"> - </v>
      </c>
      <c r="AQ19" s="834">
        <f>IF(OR(ISNUMBER(FIND("01",Criterios!A8,1)),ISNUMBER(FIND("02",Criterios!A8,1)),ISNUMBER(FIND("03",Criterios!A8,1)),ISNUMBER(FIND("04",Criterios!A8,1))),(J19-Y19+K19)/(F19-K19),(I19-Y19+K19)/(F19-K19))</f>
        <v>-0.74200785193494112</v>
      </c>
      <c r="AR19" s="834">
        <f>IF(ISNUMBER((Datos!P19-Datos!Q19+O19)/(Datos!R19-Datos!P19+Datos!Q19-O19)),(Datos!P19-Datos!Q19+O19)/(Datos!R19-Datos!P19+Datos!Q19-O19)," - ")</f>
        <v>8.8923255364392034E-3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1009.7856208126555</v>
      </c>
      <c r="G21" s="552">
        <f>IF(ISNUMBER(STDEV(G8:G18)),STDEV(G8:G18),"-")</f>
        <v>965.8448633191565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164.36139043786002</v>
      </c>
      <c r="AK21" s="252"/>
      <c r="AL21" s="252">
        <f>IF(ISNUMBER(STDEV(AL8:AL18)),STDEV(AL8:AL18),"-")</f>
        <v>0</v>
      </c>
      <c r="AM21" s="254">
        <f>IF(ISNUMBER(STDEV(AM8:AM18)),STDEV(AM8:AM18),"-")</f>
        <v>0</v>
      </c>
      <c r="AN21" s="539">
        <f>IF(ISNUMBER(STDEV(AN8:AN18)),STDEV(AN8:AN18),"-")</f>
        <v>0</v>
      </c>
      <c r="AO21" s="540">
        <f>IF(ISNUMBER(STDEV(AO8:AO18)),STDEV(AO8:AO18),"-")</f>
        <v>3.2444633995436294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6tCZNqYEvdYOwYI9CmUhBZFj20J9LKDZf2mhou3qIDTyhmiM0xIFx7wHQvDh6Xu2fU2eIt9Vu/ubEYFNPwlKaQ==" saltValue="rPk/9NCMy05hnFcT2I0y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dOZUUQt9G7dmc+ozfajCj3VOy3cD4PGNK5FPP+W2eiy1LLC7HNy+znvXyBmg3/asOXx1kI3P1Vp6/LlszjRWw==" saltValue="WAclOUytb4R3hfiFkTgs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A48UnyeD0Feu+bDPLfU3RvglnsuG75nEooHroA5NcUeMtWgq5Nqw7Bd3/OZcw5neUCxR7Ob3fKvfwI9AJYnQg==" saltValue="8WJ6X8wX1kZsvJPKCFVK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0.33065236818588023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0.23380653175962696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TLIEqm1UtDo+HJyOmR5/m69TnCXS03SBegpuWqskKF5PSdudXJPhucWah6JH6n18Gd/5VmkYJsgPhJaQTVLOw==" saltValue="A7eLVW0Tfx4Grib7J0HQ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Y+j/hxPyGM/2+7DUJBx6X1P0w3UzGyZ1QhY2dvD+KeKAIeNoYelqphogOwe6RQyStQtRN2ZlsIzCCwSsJFiLQ==" saltValue="J89ySE/fqoHYOMi9KDvw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10.199999999999999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367</v>
      </c>
      <c r="AM12" s="690">
        <f>IF(ISNUMBER(Datos!N12+DatosP!N16),Datos!N12+DatosP!N16," - ")</f>
        <v>346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8.3240574506283664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8.92325996430696E-3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220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174</v>
      </c>
      <c r="AE13" s="939">
        <f t="shared" si="1"/>
        <v>0</v>
      </c>
      <c r="AF13" s="939">
        <f t="shared" si="1"/>
        <v>17</v>
      </c>
      <c r="AG13" s="939">
        <f t="shared" si="1"/>
        <v>0</v>
      </c>
      <c r="AH13" s="939">
        <f t="shared" si="1"/>
        <v>5088</v>
      </c>
      <c r="AI13" s="939">
        <f t="shared" si="1"/>
        <v>0</v>
      </c>
      <c r="AJ13" s="939">
        <f t="shared" si="1"/>
        <v>0</v>
      </c>
      <c r="AK13" s="939">
        <f t="shared" si="1"/>
        <v>0</v>
      </c>
      <c r="AL13" s="939">
        <f t="shared" si="1"/>
        <v>370</v>
      </c>
      <c r="AM13" s="939">
        <f t="shared" si="1"/>
        <v>346</v>
      </c>
      <c r="AN13" s="939">
        <f t="shared" si="1"/>
        <v>0</v>
      </c>
      <c r="AO13" s="939">
        <f t="shared" si="1"/>
        <v>0</v>
      </c>
      <c r="AP13" s="944">
        <f>IF(ISNUMBER(((Datos!L13/Datos!K13)*11)/factor_trimestre),((Datos!L13/Datos!K13)*11)/factor_trimestre," - ")</f>
        <v>8.3567518248175183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8.92325996430696E-3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3.8012139605462818</v>
      </c>
      <c r="AQ18" s="944">
        <f>IF(ISNUMBER(((Datos!M18/Datos!L18)*11)/factor_trimestre),((Datos!M18/Datos!L18)*11)/factor_trimestre," - ")</f>
        <v>0.27664670658682633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1.834862385321101E-2</v>
      </c>
      <c r="AW18" s="946">
        <f>IF(ISNUMBER((Datos!Q18-Datos!R18)/(Datos!S18-Datos!Q18+Datos!R18)),(Datos!Q18-Datos!R18)/(Datos!S18-Datos!Q18+Datos!R18)," - ")</f>
        <v>-5.3648068669527899E-2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220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174</v>
      </c>
      <c r="AE19" s="957">
        <f t="shared" si="5"/>
        <v>0</v>
      </c>
      <c r="AF19" s="958">
        <f t="shared" si="5"/>
        <v>17</v>
      </c>
      <c r="AG19" s="958">
        <f t="shared" si="5"/>
        <v>0</v>
      </c>
      <c r="AH19" s="958">
        <f t="shared" si="5"/>
        <v>5088</v>
      </c>
      <c r="AI19" s="958">
        <f t="shared" si="5"/>
        <v>0</v>
      </c>
      <c r="AJ19" s="959">
        <f t="shared" si="5"/>
        <v>0</v>
      </c>
      <c r="AK19" s="959">
        <f t="shared" si="5"/>
        <v>0</v>
      </c>
      <c r="AL19" s="951">
        <f t="shared" si="5"/>
        <v>370</v>
      </c>
      <c r="AM19" s="951">
        <f t="shared" si="5"/>
        <v>346</v>
      </c>
      <c r="AN19" s="951">
        <f t="shared" si="5"/>
        <v>0</v>
      </c>
      <c r="AO19" s="951">
        <f t="shared" si="5"/>
        <v>0</v>
      </c>
      <c r="AP19" s="951">
        <f>IF(ISNUMBER(((Datos!L19/Datos!K19)*11)/factor_trimestre),((Datos!L19/Datos!K19)*11)/factor_trimestre," - ")</f>
        <v>5.8695111847555923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8.8923255364392034E-3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211.894627901071</v>
      </c>
      <c r="AM21" s="736"/>
      <c r="AN21" s="736">
        <f>IF(ISNUMBER(STDEV(AN8:AN18)),STDEV(AN8:AN18),"-")</f>
        <v>0</v>
      </c>
      <c r="AO21" s="742">
        <f>IF(ISNUMBER(STDEV(AO8:AO18)),STDEV(AO8:AO18),"-")</f>
        <v>0</v>
      </c>
      <c r="AP21" s="779">
        <f>IF(ISNUMBER(STDEV(AP8:AP18)),STDEV(AP8:AP18),"-")</f>
        <v>2.7244463421224814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MWMW+u1TsHh5hS+/d+ccIjK1aXr+95TDizfDPKEmu7GGVJSg7S6dKO7J7bu/XsCFR7hEkypuXQZN2BBKE0V0A==" saltValue="NOJJkFaxvAuXiv+B+Fp9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